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5" yWindow="-120" windowWidth="22800" windowHeight="12225"/>
  </bookViews>
  <sheets>
    <sheet name="Table1" sheetId="1" r:id="rId1"/>
    <sheet name="Sheet2" sheetId="2" r:id="rId2"/>
    <sheet name="Sheet3" sheetId="3" r:id="rId3"/>
  </sheets>
  <calcPr calcId="145621"/>
</workbook>
</file>

<file path=xl/calcChain.xml><?xml version="1.0" encoding="utf-8"?>
<calcChain xmlns="http://schemas.openxmlformats.org/spreadsheetml/2006/main">
  <c r="B4" i="2" l="1"/>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7" i="2"/>
  <c r="B78" i="2"/>
  <c r="B79" i="2"/>
  <c r="B80" i="2"/>
  <c r="B81" i="2"/>
  <c r="B82" i="2"/>
  <c r="B83" i="2"/>
  <c r="B84" i="2"/>
  <c r="B85" i="2"/>
  <c r="B86" i="2"/>
  <c r="B87" i="2"/>
  <c r="B88" i="2"/>
  <c r="B89" i="2"/>
  <c r="B90" i="2"/>
  <c r="B91" i="2"/>
  <c r="B92" i="2"/>
  <c r="B93" i="2"/>
  <c r="B94" i="2"/>
  <c r="B95" i="2"/>
  <c r="B96" i="2"/>
  <c r="B97" i="2"/>
  <c r="B98" i="2"/>
  <c r="B99" i="2"/>
  <c r="B100" i="2"/>
  <c r="B101" i="2"/>
  <c r="B105" i="2"/>
  <c r="B106" i="2"/>
  <c r="B107" i="2"/>
  <c r="B108" i="2"/>
  <c r="B109" i="2"/>
  <c r="B110" i="2"/>
  <c r="B111" i="2"/>
  <c r="B112" i="2"/>
  <c r="B113" i="2"/>
  <c r="B114" i="2"/>
  <c r="B115" i="2"/>
  <c r="B117" i="2"/>
  <c r="B118" i="2"/>
  <c r="B119" i="2"/>
  <c r="B120" i="2"/>
  <c r="B121" i="2"/>
  <c r="B122" i="2"/>
  <c r="B123" i="2"/>
  <c r="B124" i="2"/>
  <c r="B125" i="2"/>
  <c r="B126" i="2"/>
  <c r="B127" i="2"/>
  <c r="B128" i="2"/>
  <c r="B129" i="2"/>
  <c r="B130" i="2"/>
  <c r="B131" i="2"/>
  <c r="B132" i="2"/>
  <c r="B133" i="2"/>
  <c r="B135" i="2"/>
  <c r="B136" i="2"/>
  <c r="B140" i="2"/>
  <c r="B141" i="2"/>
  <c r="B142" i="2"/>
  <c r="B143" i="2"/>
  <c r="B144" i="2"/>
  <c r="B145" i="2"/>
  <c r="B146" i="2"/>
  <c r="B147" i="2"/>
  <c r="B148" i="2"/>
  <c r="B149" i="2"/>
  <c r="B150" i="2"/>
  <c r="B151" i="2"/>
  <c r="B152" i="2"/>
  <c r="B153" i="2"/>
  <c r="B154" i="2"/>
  <c r="B156" i="2"/>
  <c r="B157" i="2"/>
  <c r="B158" i="2"/>
  <c r="B159" i="2"/>
  <c r="B160" i="2"/>
  <c r="B161" i="2"/>
  <c r="B162" i="2"/>
  <c r="B163" i="2"/>
  <c r="B164" i="2"/>
  <c r="B165" i="2"/>
  <c r="B166" i="2"/>
  <c r="B167" i="2"/>
  <c r="B168" i="2"/>
  <c r="B169" i="2"/>
  <c r="B170" i="2"/>
  <c r="B172" i="2"/>
  <c r="B173" i="2"/>
  <c r="B174" i="2"/>
  <c r="B175" i="2"/>
  <c r="B176" i="2"/>
  <c r="B177" i="2"/>
  <c r="B178" i="2"/>
  <c r="B179" i="2"/>
  <c r="B180" i="2"/>
  <c r="B181" i="2"/>
  <c r="B182" i="2"/>
  <c r="B183" i="2"/>
  <c r="B186" i="2"/>
  <c r="B205" i="2"/>
  <c r="B206" i="2"/>
  <c r="B207" i="2"/>
  <c r="B208" i="2"/>
  <c r="B212" i="2"/>
  <c r="B213" i="2"/>
  <c r="B214" i="2"/>
  <c r="B215" i="2"/>
  <c r="B216" i="2"/>
  <c r="B217" i="2"/>
  <c r="B218" i="2"/>
  <c r="B221" i="2"/>
  <c r="B222" i="2"/>
  <c r="B223" i="2"/>
  <c r="B224" i="2"/>
  <c r="B225" i="2"/>
  <c r="G229" i="1"/>
  <c r="F229" i="1"/>
  <c r="P228" i="1"/>
  <c r="G228" i="1"/>
  <c r="F228" i="1"/>
  <c r="G227" i="1"/>
  <c r="F227" i="1"/>
  <c r="P226" i="1"/>
  <c r="G226" i="1"/>
  <c r="F226" i="1"/>
  <c r="G225" i="1"/>
  <c r="F225" i="1"/>
  <c r="N224" i="1"/>
  <c r="P224" i="1" s="1"/>
  <c r="G224" i="1"/>
  <c r="F224" i="1"/>
  <c r="G223" i="1"/>
  <c r="F223" i="1"/>
  <c r="G222" i="1"/>
  <c r="F222" i="1"/>
  <c r="P221" i="1"/>
  <c r="G221" i="1"/>
  <c r="F221" i="1"/>
  <c r="G220" i="1"/>
  <c r="F220" i="1"/>
  <c r="G219" i="1"/>
  <c r="F219" i="1"/>
  <c r="G218" i="1"/>
  <c r="F218" i="1"/>
  <c r="G217" i="1"/>
  <c r="F217" i="1"/>
  <c r="G216" i="1"/>
  <c r="F216" i="1"/>
  <c r="G215" i="1"/>
  <c r="F215" i="1"/>
  <c r="G214" i="1"/>
  <c r="F214" i="1"/>
  <c r="G213" i="1"/>
  <c r="F213" i="1"/>
  <c r="P212" i="1"/>
  <c r="G212" i="1"/>
  <c r="F212" i="1"/>
  <c r="P211" i="1"/>
  <c r="G211" i="1"/>
  <c r="F211" i="1"/>
  <c r="P210" i="1"/>
  <c r="G210" i="1"/>
  <c r="F210" i="1"/>
  <c r="P209" i="1"/>
  <c r="G209" i="1"/>
  <c r="F209" i="1"/>
  <c r="G208" i="1"/>
  <c r="F208" i="1"/>
  <c r="P207" i="1"/>
  <c r="G207" i="1"/>
  <c r="F207" i="1"/>
  <c r="P206" i="1"/>
  <c r="G206" i="1"/>
  <c r="F206" i="1"/>
  <c r="G205" i="1"/>
  <c r="F205" i="1"/>
  <c r="P204" i="1"/>
  <c r="G204" i="1"/>
  <c r="F204" i="1"/>
  <c r="P203" i="1"/>
  <c r="G203" i="1"/>
  <c r="F203" i="1"/>
  <c r="G202" i="1"/>
  <c r="F202" i="1"/>
  <c r="P201" i="1"/>
  <c r="G201" i="1"/>
  <c r="F201" i="1"/>
  <c r="P200" i="1"/>
  <c r="G200" i="1"/>
  <c r="F200" i="1"/>
  <c r="G199" i="1"/>
  <c r="F199" i="1"/>
  <c r="G198" i="1"/>
  <c r="F198" i="1"/>
  <c r="G197" i="1"/>
  <c r="F197" i="1"/>
  <c r="G196" i="1"/>
  <c r="F196" i="1"/>
  <c r="G195" i="1"/>
  <c r="F195" i="1"/>
  <c r="G194" i="1"/>
  <c r="F194" i="1"/>
  <c r="G193" i="1"/>
  <c r="F193" i="1"/>
  <c r="G192" i="1"/>
  <c r="F192" i="1"/>
  <c r="P191" i="1"/>
  <c r="G191" i="1"/>
  <c r="F191" i="1"/>
  <c r="G190" i="1"/>
  <c r="F190" i="1"/>
  <c r="G189" i="1"/>
  <c r="F189" i="1"/>
  <c r="P188" i="1"/>
  <c r="G188" i="1"/>
  <c r="F188" i="1"/>
  <c r="P187" i="1"/>
  <c r="G187" i="1"/>
  <c r="F187" i="1"/>
  <c r="G186" i="1"/>
  <c r="F186" i="1"/>
  <c r="G183" i="1"/>
  <c r="F183" i="1"/>
  <c r="G182" i="1"/>
  <c r="F182" i="1"/>
  <c r="G181" i="1"/>
  <c r="F181" i="1"/>
  <c r="G180" i="1"/>
  <c r="F180" i="1"/>
  <c r="G179" i="1"/>
  <c r="F179" i="1"/>
  <c r="G178" i="1"/>
  <c r="F178" i="1"/>
  <c r="G177" i="1"/>
  <c r="F177" i="1"/>
  <c r="P176" i="1"/>
  <c r="G176" i="1"/>
  <c r="F176" i="1"/>
  <c r="G175" i="1"/>
  <c r="F175" i="1"/>
  <c r="G174" i="1"/>
  <c r="F174" i="1"/>
  <c r="G173" i="1"/>
  <c r="F173" i="1"/>
  <c r="G172" i="1"/>
  <c r="F172" i="1"/>
  <c r="P171" i="1"/>
  <c r="G171" i="1"/>
  <c r="F171" i="1"/>
  <c r="P170" i="1"/>
  <c r="G170" i="1"/>
  <c r="F170" i="1"/>
  <c r="G169" i="1"/>
  <c r="F169" i="1"/>
  <c r="G168" i="1"/>
  <c r="F168" i="1"/>
  <c r="G167" i="1"/>
  <c r="F167" i="1"/>
  <c r="G166" i="1"/>
  <c r="F166" i="1"/>
  <c r="G165" i="1"/>
  <c r="F165" i="1"/>
  <c r="G164" i="1"/>
  <c r="F164" i="1"/>
  <c r="G163" i="1"/>
  <c r="F163" i="1"/>
  <c r="G162" i="1"/>
  <c r="F162" i="1"/>
  <c r="P161" i="1"/>
  <c r="G161" i="1"/>
  <c r="F161" i="1"/>
  <c r="G160" i="1"/>
  <c r="F160" i="1"/>
  <c r="G159" i="1"/>
  <c r="F159" i="1"/>
  <c r="G158" i="1"/>
  <c r="F158" i="1"/>
  <c r="G157" i="1"/>
  <c r="F157" i="1"/>
  <c r="P156" i="1"/>
  <c r="G156" i="1"/>
  <c r="F156" i="1"/>
  <c r="P155" i="1"/>
  <c r="G155" i="1"/>
  <c r="F155" i="1"/>
  <c r="G154" i="1"/>
  <c r="F154" i="1"/>
  <c r="G153" i="1"/>
  <c r="F153" i="1"/>
  <c r="P152" i="1"/>
  <c r="G152" i="1"/>
  <c r="F152" i="1"/>
  <c r="G151" i="1"/>
  <c r="F151" i="1"/>
  <c r="G150" i="1"/>
  <c r="F150" i="1"/>
  <c r="G149" i="1"/>
  <c r="F149" i="1"/>
  <c r="G148" i="1"/>
  <c r="F148" i="1"/>
  <c r="G147" i="1"/>
  <c r="F147" i="1"/>
  <c r="P146" i="1"/>
  <c r="G146" i="1"/>
  <c r="F146" i="1"/>
  <c r="P145" i="1"/>
  <c r="G145" i="1"/>
  <c r="F145" i="1"/>
  <c r="G144" i="1"/>
  <c r="F144" i="1"/>
  <c r="G143" i="1"/>
  <c r="F143" i="1"/>
  <c r="G142" i="1"/>
  <c r="F142" i="1"/>
  <c r="P141" i="1"/>
  <c r="G141" i="1"/>
  <c r="F141" i="1"/>
  <c r="G140" i="1"/>
  <c r="F140" i="1"/>
  <c r="G136" i="1"/>
  <c r="F136" i="1"/>
  <c r="P135" i="1"/>
  <c r="G135" i="1"/>
  <c r="F135" i="1"/>
  <c r="P134" i="1"/>
  <c r="G134" i="1"/>
  <c r="F134" i="1"/>
  <c r="G133" i="1"/>
  <c r="F133" i="1"/>
  <c r="G132" i="1"/>
  <c r="F132" i="1"/>
  <c r="G131" i="1"/>
  <c r="F131" i="1"/>
  <c r="G130" i="1"/>
  <c r="F130" i="1"/>
  <c r="G129" i="1"/>
  <c r="F129" i="1"/>
  <c r="G128" i="1"/>
  <c r="F128" i="1"/>
  <c r="G127" i="1"/>
  <c r="F127" i="1"/>
  <c r="G126" i="1"/>
  <c r="F126" i="1"/>
  <c r="G125" i="1"/>
  <c r="F125" i="1"/>
  <c r="G124" i="1"/>
  <c r="F124" i="1"/>
  <c r="G123" i="1"/>
  <c r="F123" i="1"/>
  <c r="G122" i="1"/>
  <c r="F122" i="1"/>
  <c r="G121" i="1"/>
  <c r="F121" i="1"/>
  <c r="G120" i="1"/>
  <c r="F120" i="1"/>
  <c r="G119" i="1"/>
  <c r="F119" i="1"/>
  <c r="G118" i="1"/>
  <c r="F118" i="1"/>
  <c r="G117" i="1"/>
  <c r="F117" i="1"/>
  <c r="P116" i="1"/>
  <c r="G116" i="1"/>
  <c r="F116" i="1"/>
  <c r="G115" i="1"/>
  <c r="F115" i="1"/>
  <c r="P114" i="1"/>
  <c r="G114" i="1"/>
  <c r="F114" i="1"/>
  <c r="G113" i="1"/>
  <c r="F113" i="1"/>
  <c r="G112" i="1"/>
  <c r="F112" i="1"/>
  <c r="G111" i="1"/>
  <c r="F111" i="1"/>
  <c r="P110" i="1"/>
  <c r="G110" i="1"/>
  <c r="F110" i="1"/>
  <c r="G109" i="1"/>
  <c r="F109" i="1"/>
  <c r="G108" i="1"/>
  <c r="F108" i="1"/>
  <c r="P107" i="1"/>
  <c r="G107" i="1"/>
  <c r="F107" i="1"/>
  <c r="G106" i="1"/>
  <c r="F106" i="1"/>
  <c r="G105" i="1"/>
  <c r="F105" i="1"/>
  <c r="G101" i="1"/>
  <c r="F101" i="1"/>
  <c r="P100" i="1"/>
  <c r="G100" i="1"/>
  <c r="F100" i="1"/>
  <c r="P99" i="1"/>
  <c r="G99" i="1"/>
  <c r="F99" i="1"/>
  <c r="P98" i="1"/>
  <c r="G98" i="1"/>
  <c r="F98" i="1"/>
  <c r="G97" i="1"/>
  <c r="F97" i="1"/>
  <c r="P96" i="1"/>
  <c r="G96" i="1"/>
  <c r="F96" i="1"/>
  <c r="G95" i="1"/>
  <c r="F95" i="1"/>
  <c r="G94" i="1"/>
  <c r="F94" i="1"/>
  <c r="G93" i="1"/>
  <c r="F93" i="1"/>
  <c r="G92" i="1"/>
  <c r="F92" i="1"/>
  <c r="G91" i="1"/>
  <c r="F91" i="1"/>
  <c r="G90" i="1"/>
  <c r="F90" i="1"/>
  <c r="G89" i="1"/>
  <c r="F89" i="1"/>
  <c r="P88" i="1"/>
  <c r="G88" i="1"/>
  <c r="F88" i="1"/>
  <c r="G87" i="1"/>
  <c r="F87" i="1"/>
  <c r="P86" i="1"/>
  <c r="G86" i="1"/>
  <c r="F86" i="1"/>
  <c r="P85" i="1"/>
  <c r="G85" i="1"/>
  <c r="F85" i="1"/>
  <c r="P84" i="1"/>
  <c r="G84" i="1"/>
  <c r="F84" i="1"/>
  <c r="G83" i="1"/>
  <c r="F83" i="1"/>
  <c r="G82" i="1"/>
  <c r="F82" i="1"/>
  <c r="P81" i="1"/>
  <c r="G81" i="1"/>
  <c r="F81" i="1"/>
  <c r="G80" i="1"/>
  <c r="F80" i="1"/>
  <c r="P79" i="1"/>
  <c r="G79" i="1"/>
  <c r="F79" i="1"/>
  <c r="P78" i="1"/>
  <c r="G78" i="1"/>
  <c r="F78" i="1"/>
  <c r="P77" i="1"/>
  <c r="G77" i="1"/>
  <c r="F77" i="1"/>
  <c r="G74" i="1"/>
  <c r="F74" i="1"/>
  <c r="P73" i="1"/>
  <c r="G73" i="1"/>
  <c r="F73" i="1"/>
  <c r="P72" i="1"/>
  <c r="G72" i="1"/>
  <c r="F72" i="1"/>
  <c r="P71" i="1"/>
  <c r="G71" i="1"/>
  <c r="F71" i="1"/>
  <c r="P70" i="1"/>
  <c r="G70" i="1"/>
  <c r="F70" i="1"/>
  <c r="P69" i="1"/>
  <c r="G69" i="1"/>
  <c r="F69" i="1"/>
  <c r="G68" i="1"/>
  <c r="F68" i="1"/>
  <c r="G67" i="1"/>
  <c r="F67" i="1"/>
  <c r="P66" i="1"/>
  <c r="G66" i="1"/>
  <c r="F66" i="1"/>
  <c r="G65" i="1"/>
  <c r="F65" i="1"/>
  <c r="G64" i="1"/>
  <c r="F64" i="1"/>
  <c r="G63" i="1"/>
  <c r="F63" i="1"/>
  <c r="P62" i="1"/>
  <c r="G62" i="1"/>
  <c r="F62" i="1"/>
  <c r="P61" i="1"/>
  <c r="G61" i="1"/>
  <c r="F61" i="1"/>
  <c r="P60" i="1"/>
  <c r="G60" i="1"/>
  <c r="F60" i="1"/>
  <c r="G59" i="1"/>
  <c r="F59" i="1"/>
  <c r="G58" i="1"/>
  <c r="F58" i="1"/>
  <c r="G57" i="1"/>
  <c r="F57" i="1"/>
  <c r="G56" i="1"/>
  <c r="F56" i="1"/>
  <c r="G55" i="1"/>
  <c r="F55" i="1"/>
  <c r="G54" i="1"/>
  <c r="F54" i="1"/>
  <c r="G53" i="1"/>
  <c r="F53" i="1"/>
  <c r="P52" i="1"/>
  <c r="G52" i="1"/>
  <c r="F52" i="1"/>
  <c r="P51" i="1"/>
  <c r="G51" i="1"/>
  <c r="F51" i="1"/>
  <c r="P50" i="1"/>
  <c r="G50" i="1"/>
  <c r="F50" i="1"/>
  <c r="P49" i="1"/>
  <c r="G49" i="1"/>
  <c r="F49" i="1"/>
  <c r="P48" i="1"/>
  <c r="G48" i="1"/>
  <c r="F48" i="1"/>
  <c r="P47" i="1"/>
  <c r="G47" i="1"/>
  <c r="F47" i="1"/>
  <c r="G46" i="1"/>
  <c r="F46" i="1"/>
  <c r="P45" i="1"/>
  <c r="G45" i="1"/>
  <c r="F45" i="1"/>
  <c r="G44" i="1"/>
  <c r="F44" i="1"/>
  <c r="G43" i="1"/>
  <c r="F43" i="1"/>
  <c r="G39" i="1"/>
  <c r="F39" i="1"/>
  <c r="G38" i="1"/>
  <c r="F38" i="1"/>
  <c r="G37" i="1"/>
  <c r="F37" i="1"/>
  <c r="P36" i="1"/>
  <c r="G36" i="1"/>
  <c r="F36" i="1"/>
  <c r="N35" i="1"/>
  <c r="P35" i="1" s="1"/>
  <c r="G35" i="1"/>
  <c r="F35" i="1"/>
  <c r="N34" i="1"/>
  <c r="P34" i="1" s="1"/>
  <c r="G34" i="1"/>
  <c r="F34" i="1"/>
  <c r="G33" i="1"/>
  <c r="F33" i="1"/>
  <c r="G32" i="1"/>
  <c r="F32" i="1"/>
  <c r="G31" i="1"/>
  <c r="F31" i="1"/>
  <c r="G30" i="1"/>
  <c r="F30" i="1"/>
  <c r="P29" i="1"/>
  <c r="G29" i="1"/>
  <c r="F29" i="1"/>
  <c r="P28" i="1"/>
  <c r="G28" i="1"/>
  <c r="F28" i="1"/>
  <c r="G27" i="1"/>
  <c r="F27" i="1"/>
  <c r="G26" i="1"/>
  <c r="F26" i="1"/>
  <c r="G25" i="1"/>
  <c r="F25" i="1"/>
  <c r="G24" i="1"/>
  <c r="F24" i="1"/>
  <c r="G23" i="1"/>
  <c r="F23" i="1"/>
  <c r="G22" i="1"/>
  <c r="F22" i="1"/>
  <c r="G21" i="1"/>
  <c r="F21" i="1"/>
  <c r="G20" i="1"/>
  <c r="F20" i="1"/>
  <c r="G19" i="1"/>
  <c r="F19" i="1"/>
  <c r="G18" i="1"/>
  <c r="F18" i="1"/>
  <c r="G17" i="1"/>
  <c r="F17" i="1"/>
  <c r="P16" i="1"/>
  <c r="G16" i="1"/>
  <c r="F16" i="1"/>
  <c r="G15" i="1"/>
  <c r="F15" i="1"/>
  <c r="G14" i="1"/>
  <c r="F14" i="1"/>
  <c r="G13" i="1"/>
  <c r="F13" i="1"/>
  <c r="P12" i="1"/>
  <c r="G12" i="1"/>
  <c r="F12" i="1"/>
  <c r="P11" i="1"/>
  <c r="G11" i="1"/>
  <c r="F11" i="1"/>
  <c r="P10" i="1"/>
  <c r="G10" i="1"/>
  <c r="F10" i="1"/>
  <c r="G9" i="1"/>
  <c r="F9" i="1"/>
  <c r="P8" i="1"/>
  <c r="G8" i="1"/>
  <c r="F8" i="1"/>
  <c r="G7" i="1"/>
  <c r="F7" i="1"/>
  <c r="G6" i="1"/>
  <c r="F6" i="1"/>
  <c r="G5" i="1"/>
  <c r="F5" i="1"/>
  <c r="G4" i="1"/>
  <c r="F4" i="1"/>
</calcChain>
</file>

<file path=xl/sharedStrings.xml><?xml version="1.0" encoding="utf-8"?>
<sst xmlns="http://schemas.openxmlformats.org/spreadsheetml/2006/main" count="1274" uniqueCount="269">
  <si>
    <t>Table 1: Sinuous rille locations and measurements</t>
  </si>
  <si>
    <t>Rille</t>
  </si>
  <si>
    <t>Basin</t>
  </si>
  <si>
    <t>Segment</t>
  </si>
  <si>
    <t>Lat</t>
  </si>
  <si>
    <t>Lon</t>
  </si>
  <si>
    <t>Length</t>
  </si>
  <si>
    <t>unc</t>
  </si>
  <si>
    <t>Width</t>
  </si>
  <si>
    <t>stdev</t>
  </si>
  <si>
    <t>Depth</t>
  </si>
  <si>
    <t>Slope</t>
  </si>
  <si>
    <t>Sinuosity</t>
  </si>
  <si>
    <t>Source Area</t>
  </si>
  <si>
    <t>Source Depth</t>
  </si>
  <si>
    <t>Source Volume</t>
  </si>
  <si>
    <t>Description of Rille</t>
  </si>
  <si>
    <t>km</t>
  </si>
  <si>
    <t>m</t>
  </si>
  <si>
    <t>deg</t>
  </si>
  <si>
    <r>
      <t>km</t>
    </r>
    <r>
      <rPr>
        <vertAlign val="superscript"/>
        <sz val="11"/>
        <color theme="1"/>
        <rFont val="Times New Roman"/>
        <family val="1"/>
      </rPr>
      <t>2</t>
    </r>
  </si>
  <si>
    <r>
      <t>km</t>
    </r>
    <r>
      <rPr>
        <vertAlign val="superscript"/>
        <sz val="11"/>
        <color theme="1"/>
        <rFont val="Times New Roman"/>
        <family val="1"/>
      </rPr>
      <t>3</t>
    </r>
  </si>
  <si>
    <t>Procellarum</t>
  </si>
  <si>
    <t>total</t>
  </si>
  <si>
    <t>-</t>
  </si>
  <si>
    <t>Rille east of southern extent of Rima Herigonius in S Procellarum, east of mountains east of rille 5</t>
  </si>
  <si>
    <t>Long rille that may have source disrupted by wrinkle ridge east of Herigonius in SE Procellarum/NW Nubium</t>
  </si>
  <si>
    <t>Small rille west of Bulliardus crater in southeastern Procellarum/NW Nubium</t>
  </si>
  <si>
    <t>Long skinny rille that originated in SE Procellarum into NW Mare Nubium</t>
  </si>
  <si>
    <t>Rille that formed east of and parallel to southern Rima Herigonius in S Procellarum</t>
  </si>
  <si>
    <t>Rille east of northern part of Rima Herigonius that appears to have originated in ejecta of Herigonius crater</t>
  </si>
  <si>
    <t>W branch</t>
  </si>
  <si>
    <t>W branch of Rima Herigonius</t>
  </si>
  <si>
    <t>E/C branch</t>
  </si>
  <si>
    <t>E/central branch of Rima Herigonius that originates in a wrinkle ridge</t>
  </si>
  <si>
    <t>E branch</t>
  </si>
  <si>
    <t>E most branch of Rima Herigonius</t>
  </si>
  <si>
    <t>Rille that formed along a mound NW of Mare Cognitum, very small.</t>
  </si>
  <si>
    <t>Potential rille in raised terrain east of an embayed crater in SW Procellarum</t>
  </si>
  <si>
    <t>Strange inverted potentially leveed channel southeast of Lambert crater, near Luna 5 landing site; varies from 10+ m tall, to 6m in depth</t>
  </si>
  <si>
    <t>Channel east of Lambert crater, with a circular source, starts as fairly narrow channel but then, after a disruption by a secondary crater chain, the channel widens; this channel formed just N of the inverted feature 10</t>
  </si>
  <si>
    <t>Channel south of Kepler crater that is embayed on both ends</t>
  </si>
  <si>
    <t>Small sinuous rille west of Rima Seuss that lies between two wrinkle ridges, one at the apparent head of the channel is more prominent than the other to the S</t>
  </si>
  <si>
    <t>Small rille west of Rima Seuss that might be a continuation of rille 13 and rille 14 that is superposed at its terminus by ejecta associated with an impact crater</t>
  </si>
  <si>
    <t>Skinny channel southwest of Kepler crater apparently embayed on both ends</t>
  </si>
  <si>
    <t>Channelized feature north of an impact crater SW of Procellarum basin, potentially formed from impact melt</t>
  </si>
  <si>
    <t>Small rille in central Procellarum basin that is deformed by a wrinkle ridge</t>
  </si>
  <si>
    <t>Wide rille that potentially pools west of a wrinkle ridge before incising across wr, south of Marius crater</t>
  </si>
  <si>
    <t>Small rille near the south end of the Marius Hills, near a crater that superposes the rille, covering the central portion with ejecta</t>
  </si>
  <si>
    <t>Small narrow rille southeast ofsource of Rima Seuss</t>
  </si>
  <si>
    <t>Rima Seuss in central Procellarum</t>
  </si>
  <si>
    <t>channel</t>
  </si>
  <si>
    <t>Highly sinuous rille that extends from a series of potential tube skylights that originate in same source as Rima Seuss and extend north and east into central Procellarum; potentially has same source as Rima Seuss, rille 23</t>
  </si>
  <si>
    <t>Skinny rille east of the Kepler crater, Rima Milichius</t>
  </si>
  <si>
    <t>na</t>
  </si>
  <si>
    <t>Very long skinny rille south and west of Rima Galilei in central Procellarum, on SW edge of Marius rise; superposed by many secondaries, but part of the middle section may be either erased by secondaries or extended in substrate as lava tube</t>
  </si>
  <si>
    <t>Small rille that originates in a cone within Marius Hills in central Procellarum</t>
  </si>
  <si>
    <t>western</t>
  </si>
  <si>
    <t>Western branch of Rima Galilei in central Procellarum west of Marius Hills</t>
  </si>
  <si>
    <t>eastern</t>
  </si>
  <si>
    <t>Eastern branch of Rima Galilei in central Procellarum west of Marius Hills</t>
  </si>
  <si>
    <t>Large but abruptly embayed rille on the SE margin of Marius crater</t>
  </si>
  <si>
    <t>Rille that forms along a cone in Marius Hills, flows north and fades into impact ejecta</t>
  </si>
  <si>
    <t>Small rille that may begin as a lava tube in the NE ejecta of Marius crater</t>
  </si>
  <si>
    <t>Possible rille northeast of rille 31 on the southwest flank of the Marius rise</t>
  </si>
  <si>
    <t>Skinny rille west of Marius Hills that ends abruptly at a superposed crater and that may begin as a series of tubes</t>
  </si>
  <si>
    <t>Short rille in Marius Hills that ends in a potential tube, only one depth measurement made that is unaffected by superposed impact crater ejecta</t>
  </si>
  <si>
    <t>Skinny rille west of the Marius Hills, potentially terminus of rille 36 that is interrupted by a superposed impact crater</t>
  </si>
  <si>
    <t>Potential very short rille west of Marius Hills that begins as a channel and ends potentially as a tube, only one depth measurement available for each source, channel, and potential skylight</t>
  </si>
  <si>
    <t>potential huge very sinuous rille that formed on the eastern flank of the Marius rise that is partially obscured by mare</t>
  </si>
  <si>
    <t>Rille that originates in Marius Hills</t>
  </si>
  <si>
    <t>Short rille east of the Marius rise embayed by mare</t>
  </si>
  <si>
    <t>Rima Marius in central Procellarum, with several very narrow channels that branch off of the main channel</t>
  </si>
  <si>
    <t>Long prominent rille north of Rima Marius that both cuts through a wrinkle ridge and is cut by a different wrinkle ridge, superposed by secondaries from Aristarchus crater</t>
  </si>
  <si>
    <t>Narrow small rille west of Marius rise south of small cone</t>
  </si>
  <si>
    <t>Small rille in SW rim of Eddington crater in W Procellarum</t>
  </si>
  <si>
    <t>Rille heavily deformed by Aristarchus secondaries, E of Aristarchus crater</t>
  </si>
  <si>
    <t>Small rille in southern Aristarchus Plateau, south of Schroters Valles</t>
  </si>
  <si>
    <t>Small rille in southern Aristarchus Plateau, appears to be deformed by wr</t>
  </si>
  <si>
    <t>Rille on Aristarchus Plateau south of Schroters Valles</t>
  </si>
  <si>
    <t>N branch</t>
  </si>
  <si>
    <t>N branch of branching sinuous rille in SW Aristarchus plateau</t>
  </si>
  <si>
    <t>S branch</t>
  </si>
  <si>
    <t>S branch of branching sinuous rille in SW Aristarchus plateau</t>
  </si>
  <si>
    <t>Small rille in SW of Aristarchus plateau</t>
  </si>
  <si>
    <t>outer</t>
  </si>
  <si>
    <t>Schroters Valles on Aristarchus Plateau; ends apparently still on plateau; very wide valley, not terribly sinuous but with large kink, turning from SE/NW trend to NE/SW trend</t>
  </si>
  <si>
    <t>inner</t>
  </si>
  <si>
    <t>Inner channel of Schroters Valles; highly sinuous, often hugs valley walls, continues outside of valley where valley ends, cutting into and beyond south valley wall to enter mare</t>
  </si>
  <si>
    <t>Short rille on SW Aristarchus plateau with small source depression</t>
  </si>
  <si>
    <t>Potential rille just north of Aristarchus crater, heavily deformed by Aristarchus secondaries</t>
  </si>
  <si>
    <t>Long but subdued rille just east of Aristarchus-Harbinger area, no evidence source depression and altered by impact, but not necessarily flooded?</t>
  </si>
  <si>
    <t>Prominent but short rille on southern edge of Prinz Rise</t>
  </si>
  <si>
    <t>central</t>
  </si>
  <si>
    <t>Rima Aristarchus, central branch; circular source depression, terminus cuts across mare plains that embay Rimae Prinz, Beethoven; separate branch width is 1315m</t>
  </si>
  <si>
    <t>Smaller rille on southern edge of Prinz Rise</t>
  </si>
  <si>
    <t>Rima Aristarchus, eastern branch; independent circular source depression, merges with the central branch; relationships with central branch is not clear, could be younger than central branch because of sharp morphology at merger; separate branch width is 922m</t>
  </si>
  <si>
    <t>Rima Prinz with outer and inner channel (dimensions noted for outer channel); circular source depression; inner channel apparently only extends partway along observed channel.</t>
  </si>
  <si>
    <t>Rima Aristarchus, northwestern branch; independent potential circular source though not as large as previous two, merges with other two branches lower in central branch than southern branch; appears to be youngest branch because it blocks off other branches at merger; separate branch width is 613m</t>
  </si>
  <si>
    <t>Rima Beethoven cuts through Harbinger Mts</t>
  </si>
  <si>
    <t xml:space="preserve"> Rima Handel on Harbinger Prinz rise, circular source depression and clearly embayed at terminal end</t>
  </si>
  <si>
    <t>Truncated rille north of Rima Beethoven, may merge with Rima Beethoven.</t>
  </si>
  <si>
    <t>Small narrow rille that feeds into Rima Handel from the east</t>
  </si>
  <si>
    <t>Small channel northwest of NW branch of Rima Aristarchus</t>
  </si>
  <si>
    <t>Rima Telemann on Harbinger Prinz rise, no visible source depression, likely embayed, and clearly embayed at distal/terminal end of channel</t>
  </si>
  <si>
    <t>Short rille in eastern Harbinger area, starts very straight, likely as a lava tube or tectonically influenced, then when it hits topography it becomes very sinuous; at that point the slope decreases from -0.73 to -0.51 deg</t>
  </si>
  <si>
    <t>Small channel north of rille 69</t>
  </si>
  <si>
    <t>Rille NE of rille 72 that is likely longer than mapped, but it is heavily covered/modified by secondaries/impact ejecta from a crater to the north; channel has irregular source depression</t>
  </si>
  <si>
    <t>W branch of rille north of Schroters Valles, superposed by secondaries from Aristarchus, and ends abruptly when it gets off the Aristarchus plateau and encounters the mare; circular source depression that might have two aligned depressions</t>
  </si>
  <si>
    <t>E branch of rille north of Schroters Valles, superposed by secondaries from Aristarchus, seems to lack a source depression</t>
  </si>
  <si>
    <t>Long skinny rille NW of Rima Aristarchus that flows north into Oceanus Procellarum, west of Rima Krieger; part of it appears to be concealed</t>
  </si>
  <si>
    <t>Rille with continuous wall west of rille 75; clearly overlain by secondaries, likely from Aristarchus</t>
  </si>
  <si>
    <t>Rima Krieger, that begins in Krieger crater and continues into Oceanus Procellarum</t>
  </si>
  <si>
    <t>Wide potential rille north of Schroters Valles, embayed on both sides, exposed only on an embayed portion of Aristarchus plateau</t>
  </si>
  <si>
    <t>Long sinuous rille in mare NW of Aristarchus Plateau; appears to be deformed by a wrinkle ridge</t>
  </si>
  <si>
    <t>Sinuous rille west of embayed bar of highland material off of northwest end of Aristarchus plateau</t>
  </si>
  <si>
    <t>Rille with somewhat elongate source depression; most likely a collapsed lava tube with many aligned pit craters, some areas have clear levees or potential overflow/constructed lava bridges</t>
  </si>
  <si>
    <t>Small short rille in NE Procellarum with little erosion but potentially no embayment; near Gruthuisen Domes</t>
  </si>
  <si>
    <t>main branch</t>
  </si>
  <si>
    <t>Prominent rille in NE Procellarum, unclear whether rille has a source depression, but there appear to be potential volcanic edifices in the potential source depression unlike any depression seen before; should be targeted with NAC; several branches; at one point appears deformed by a wrinkle ridge, but branch might not be</t>
  </si>
  <si>
    <t>"Source depression" from 85 could be a terminus of a channel; source could be in north and feed two channels; this one to the west and south, and a second one below to the east. The description for this channel is the same as 85 but with only one branch and with the potential wrinkle ridge deformation; potential depression in the north rather than in the south? Rima Sharp</t>
  </si>
  <si>
    <t>Same as 85; this is the smaller channel that flows to the east from the potential source, branching significantly as it rounds a bend of topography.</t>
  </si>
  <si>
    <t>Small rille in NE Procellarum with potential elongate source depression unconnected to short channel that hugs topography; appears to flow from NW to SE; near Gruthuisen Domes</t>
  </si>
  <si>
    <t>Short but prominent rille on W edge of W Imbrium ejecta; could be embaying ejecta of nearby crater or could be cut off by that same crater, unclear stratigraphic relationships</t>
  </si>
  <si>
    <t>Small rille in N/central Procellarum with streamlined island near visible channel terminus</t>
  </si>
  <si>
    <t>Skinny, shallow rille with circular source near N/E Procellarum, just west of a large prominent rille in which this rille terminates; rille is superposed by impact craters that hide some of the walls.</t>
  </si>
  <si>
    <t>Skinny rille in N/central Procellarum that is likely at least partially a collapsed lava tube</t>
  </si>
  <si>
    <t>Small rille NW of Imbrium that might hav been partially covered by a crater</t>
  </si>
  <si>
    <t>Imbrium</t>
  </si>
  <si>
    <t>E wall of prominent rille S of Imbrium, Rima T. Mayer</t>
  </si>
  <si>
    <t>Long rille in ejecta of Copernicus, possible source; clearly predates ejecta</t>
  </si>
  <si>
    <t>Long skinny rille in ejecta of Eratosthenes in S Imbrium; possibly an impact melt channel?  May predate Eratosthenes ejecta; depth represents upchannel deeper depth, downchannel shallower depth (23+-5.6) and full channel depth (49.4+-31.2)</t>
  </si>
  <si>
    <t>Small rille in ejecta of Copernicus, might extend farther north but unclear in ejecta</t>
  </si>
  <si>
    <t>Long skinny rille in SE Imbrium basin that is superposed by a 5.7 km diam crater, rille has long skinny source depression in S</t>
  </si>
  <si>
    <t>Small but relatively wide rille in middle of mare unit, beginning of rille is near topo rise but appears to start off the rise, flow up the rise, then down the rise, suggesting the rise formed after the rille</t>
  </si>
  <si>
    <t>Possible rille southeast of SE rim of Imbrium</t>
  </si>
  <si>
    <t>Small rille south of Rima Euler, completely embayed, no sign of source or deposits</t>
  </si>
  <si>
    <t>Small rille west of Euler crater and east of Rima Brayley; channel may end before mapped terminus, lose S wall of channel near end; no source</t>
  </si>
  <si>
    <t>Rille that splits at topogrpahy and flows NW, SW of Mozart Rille, source possible</t>
  </si>
  <si>
    <t>Rille that splits with 103 at topography and flows SE</t>
  </si>
  <si>
    <t>Very long skinny rille south of and older than Euler crater: Euler Rille</t>
  </si>
  <si>
    <t>branch a</t>
  </si>
  <si>
    <t>branch b</t>
  </si>
  <si>
    <t>Secondary branch of Rima Brayley, consistently narrower (segments are 229m vs. 359m) and shallower, likely formed before a since more erosion occurred since; main branch is the same for both segments, equalizes averages: Embayed at both ends?</t>
  </si>
  <si>
    <t>Very small rille N of rille 103 that ends abruptly in a steep drop to a valley</t>
  </si>
  <si>
    <t>Long skinny rille that originates near a wrinkle ridge, no obvious source depression, ends in mare to north</t>
  </si>
  <si>
    <t>Short rille SE of the middle of the main branch of Rima Brayley</t>
  </si>
  <si>
    <t>too</t>
  </si>
  <si>
    <t>subdued</t>
  </si>
  <si>
    <t>Eastern branch of channel NW of Euler crater, very sinuous with tributaries</t>
  </si>
  <si>
    <t>Western branch of channel NW of Euler crater</t>
  </si>
  <si>
    <t>Very subdued, sinuous channel just west of rille 110 and Euler crater; too subdued for measurements: constructed?</t>
  </si>
  <si>
    <t>Hadley Rille, begins at edge of highlands and flows along edge of mare in eastern Imbrium</t>
  </si>
  <si>
    <t>Rima Vladimir (Rima Mozart?), begins and ends in pits that appear aligned with tectonic graben</t>
  </si>
  <si>
    <t>Main branch of very long sinuous rille south of Diophantus Crater, Rima Diophantus; both ends appear to be embayed, unclear which direction flow is but most likely into Imbrium</t>
  </si>
  <si>
    <t>Secondary branch of Rima Diophantus, very minor feature, not measured independently</t>
  </si>
  <si>
    <t>Relatively large sinuous rille in W Imbrium N of Rima Diophantus: Rima Delisle</t>
  </si>
  <si>
    <t>Short rille north of Rima Delisle, rille 35 in W Imbrium</t>
  </si>
  <si>
    <t>Relatively wide channel with no defining start or end in NW Imbrium interior; might flow around a small impact crater in path</t>
  </si>
  <si>
    <t>Relatively wide channel with no defining start or end, E of wrinkle ridge in NW Imbrium</t>
  </si>
  <si>
    <t>Small rille along NW margin of Imbrium, may originate from tectonic graben</t>
  </si>
  <si>
    <t>Small rille SW of Sinus Iridum</t>
  </si>
  <si>
    <t>Small rille near terminus of rille 130 with independent source, tectonics influence</t>
  </si>
  <si>
    <t>Narrow chan with no obvious source in N. Imbrium basin, hugs edge of mare lava</t>
  </si>
  <si>
    <t>Long rille in large tectonic(?) valley NE of Imbrium, not completely continuous, might be example of partial tube, partial rille</t>
  </si>
  <si>
    <t>Large rille with large source SE of Plato in NE Imbrium</t>
  </si>
  <si>
    <t>Second rille near source of rille 130, no source</t>
  </si>
  <si>
    <t>Third rille with independent small source that intersects rille 130</t>
  </si>
  <si>
    <t>Small channel in highlands north of Imbrium just east of rille 133</t>
  </si>
  <si>
    <t>Inner channel of rille west of Plato in N Imbrium, inner chan flows from highlands into mare</t>
  </si>
  <si>
    <t>Outer channel of rille 132</t>
  </si>
  <si>
    <t>Channel in highlands north of Imbrium, meanders south near highlands/mare boundary</t>
  </si>
  <si>
    <t>Small rille in highlands north of Imbrium</t>
  </si>
  <si>
    <t>Small rille that flows down from highlands N of Imbrium, splits in a valley, then possible ends in a pond still above the mare</t>
  </si>
  <si>
    <t>W branch of rille that branches in a valley N of Imbirum</t>
  </si>
  <si>
    <t>Short rille east of rille 135 that flows out of a crater into same pond as 135</t>
  </si>
  <si>
    <t>Second branch of rille 136</t>
  </si>
  <si>
    <t>Channel in highlands north of Imbrium, narrows substantially near terminus</t>
  </si>
  <si>
    <t>Wide rille north of N Imbrium</t>
  </si>
  <si>
    <t>Rille with large source depression east of Plato in N Imbrium</t>
  </si>
  <si>
    <t>Small channel NE of Plato in N Imbrium</t>
  </si>
  <si>
    <t>Orientale</t>
  </si>
  <si>
    <t>Sinuous rille in southern Orientale rim that intersects a graben and then narrows substantially as it encounters mare</t>
  </si>
  <si>
    <t>Wide rille in small mare pond in eastern Orientale</t>
  </si>
  <si>
    <t>Rille in central Orientale with a circular source</t>
  </si>
  <si>
    <t>Small rille in central Orientale basin east of rille 143</t>
  </si>
  <si>
    <t>Small subdued rille in east central Orientale that cuts through rough terrain</t>
  </si>
  <si>
    <t>Long skinny heavily sinuous rille in eastern Orientale</t>
  </si>
  <si>
    <t>Skinny rille in Lacus Veris in northeastern Orientale basin, superposed by secondaries from Maunder crater to the southwest</t>
  </si>
  <si>
    <t>Short wide rille in highlands off of Lacus Autumni in northeastern Orientale</t>
  </si>
  <si>
    <t>Very faint rille in northeastern Orientale basin</t>
  </si>
  <si>
    <t>Skinny rille in Lacus Autumni in northeastern Orientale</t>
  </si>
  <si>
    <t>Short skinny rille in Lacus Autumni in northeastern Orientale</t>
  </si>
  <si>
    <t>Very long very skinny sinuous rille in northern Orientale that originates in an embayed crater</t>
  </si>
  <si>
    <t>Sinuous rille that begins in rim of northern Orientale basin and forms down the wall and changes greatly in width after it pooled and crossed topographic boundary</t>
  </si>
  <si>
    <t>Serenitatis</t>
  </si>
  <si>
    <t>Long rille connecting Mare Tranquilitatis and Mare Serenitatis</t>
  </si>
  <si>
    <t>Potential rille on rim of crater between Tranquilitatis and Serenitatis</t>
  </si>
  <si>
    <t>Potential rille west of crater west of rilles 154 and 155</t>
  </si>
  <si>
    <t>Small rille south of rille 159</t>
  </si>
  <si>
    <t>Very small rille south of rille 157 that may originate in cone</t>
  </si>
  <si>
    <t>Small rille in southeast mare Serenitatis</t>
  </si>
  <si>
    <t>Small rille in southern mare Serenitatis embayed at terminus</t>
  </si>
  <si>
    <t>Small rille southwest of Posidonius crater in Mare Serenitatis</t>
  </si>
  <si>
    <t>Very sinuous rille in Posidonius crater, Rima Posidonius</t>
  </si>
  <si>
    <t>Possible rille southeast of Eudoxus crater in northern Serenitatis</t>
  </si>
  <si>
    <t>Possible rille in northern Serenitatis</t>
  </si>
  <si>
    <t>Tranquillitatis</t>
  </si>
  <si>
    <t>Outer rille of of long rille in southern Tranquillitatis</t>
  </si>
  <si>
    <t xml:space="preserve">Inner rille of of long rille in southern Tranquillitatis, not necessarily visible for the entirety of the rille but clearly cuts across tectonic rille </t>
  </si>
  <si>
    <t>Small rille west of head of rille 165, possibly with a circular source</t>
  </si>
  <si>
    <t>Rille southeast of Plinius crater in northern Tranquillitatis</t>
  </si>
  <si>
    <t>Jules Verne</t>
  </si>
  <si>
    <t>Potential rille parallel to an embayed portion of rim of a small crater in Jules Verne</t>
  </si>
  <si>
    <t>Mare Smythii</t>
  </si>
  <si>
    <t>Potential rille in northwest Mare Smythii</t>
  </si>
  <si>
    <t>Nectaris</t>
  </si>
  <si>
    <t>Potential rille with a circular depression in northeastern Nectaris basin</t>
  </si>
  <si>
    <t>Nubium</t>
  </si>
  <si>
    <t>Possible rille in Wurzelbauer crater south of mare Nubium</t>
  </si>
  <si>
    <t>Small rille on rim of Mercator crater in southwest mare Nubium</t>
  </si>
  <si>
    <t>Small rille southwest of Lubiniezky crater northwest of Bullialdus crater in northwest Nubium</t>
  </si>
  <si>
    <t>Very small potential rille southwest of Lubiniezky northwest of Bullialdus in northwest Nubium</t>
  </si>
  <si>
    <t>Fecunditatis</t>
  </si>
  <si>
    <t>Rille in western Mare Fecunditatis with a circular source depression in an embayed crater</t>
  </si>
  <si>
    <t>tube</t>
  </si>
  <si>
    <t>Aligned pits that may represent a collapsed lava tube that continues from rille 176</t>
  </si>
  <si>
    <t>Humboldt</t>
  </si>
  <si>
    <t>Sinus Aestuum</t>
  </si>
  <si>
    <t>Potential rille south of Schroter crater south of Sinus Aestuum</t>
  </si>
  <si>
    <t>Potential impact melt channel on southeast rim of Pallas basin near Rima Bode</t>
  </si>
  <si>
    <t>Narrow channel in western Sinus Aestuum</t>
  </si>
  <si>
    <t>Potential rille south of Ukert crater near Rima Bode</t>
  </si>
  <si>
    <t>Prominent rille northwest of Bode crater that terminates in a pool of mare that might feed Rima Bode farther north</t>
  </si>
  <si>
    <t>Small potential rille downslope of Rima Bode</t>
  </si>
  <si>
    <t>Potential small rille north of Rima Bode in SE Sinus Aestuum</t>
  </si>
  <si>
    <t>Thomson</t>
  </si>
  <si>
    <t>Potential rille with circular depression in crater west of Jules Verne</t>
  </si>
  <si>
    <t>Potential rille perpendicular to ejecta material in west Thomson crater</t>
  </si>
  <si>
    <t>Small rille in northwest Thomson crater that terminates in Mare Ingenii</t>
  </si>
  <si>
    <t>More prominent rille northeast of rille 193 on north rim of Thomson crater</t>
  </si>
  <si>
    <t>measure</t>
  </si>
  <si>
    <t>to</t>
  </si>
  <si>
    <t>Rille with an elongate source on northeast rim of Lyot crater</t>
  </si>
  <si>
    <t>Narrow chan with no obvious source in N. Imbrium basin, may continue in channels 125, 127, deformed by wrinkle ridges</t>
  </si>
  <si>
    <t>Narrow channel with no obvious source in N. Imbrium basin, may have been deformed and disconnected by wrinkle ridges, once forming a longer chan</t>
  </si>
  <si>
    <t>Very small but wide rille at bottom of topo high N of rille 96, possible continuation of rille 96?  Appears embayed on both ends, maybe evidence of collapse at N end…lava tube?</t>
  </si>
  <si>
    <t>Subdued channel west of rille 111, potentially constructed; too subdued for measurements?</t>
  </si>
  <si>
    <t>Subdued channel west of rille 109 and Euler crater, possibly constructed; too subdued for measurements?</t>
  </si>
  <si>
    <t>109b</t>
  </si>
  <si>
    <t>Main branch of very long rille in SW Imbrium, Rima Brayley? Interesting part of rille, possible cataract as lava flowed over tectonic feature? Rille intersects a wr later as well, appears to be deformed by wr in this case. Embayed at both ends?</t>
  </si>
  <si>
    <t>Short rille that begins at a wrinkle ridge northwest of Rima Delisle, rille 115</t>
  </si>
  <si>
    <t>Substantial rille north of rille 117, may cut/flood a crater?  Interesting texture outside of crater</t>
  </si>
  <si>
    <t>Relatively prominent rille with several potential source areas; possibly very interesting textures in the channel floor and outside the channel</t>
  </si>
  <si>
    <t>Relatively small rille that originates in a crater just north of rille 118</t>
  </si>
  <si>
    <t>Highly braided, short channel west of rille 77</t>
  </si>
  <si>
    <t>Rille west of rille 74, north of Aristarchus; widest where rille cuts into Aristarchus Plateau (ave depth 194m), narrows when intersects the mare (ave depth 44m), and then abruptly appears to shallow and narrow further (ave depth 20m)…potentially indicating point at which erosion no longer is efficient/occurring</t>
  </si>
  <si>
    <t>Small sinuous rille west of Rima Seuss that curves around a small impact crater and fades into the mare, formed north of rilles 13-15</t>
  </si>
  <si>
    <t>Small rille west of Rima Seuss that might be a continuation of rille 13 on the northeast side of a wrinkle ridge</t>
  </si>
  <si>
    <t>Small degraded rille that originates in the E ejecta of Marius crater</t>
  </si>
  <si>
    <t>prominent rille NE of Marius crater with large source depression that is embayed by mare</t>
  </si>
  <si>
    <t>Rille just south of rille 43 that originates in Marius Hills, starts out deep, gets shallower, then deep again</t>
  </si>
  <si>
    <t>Rima Bode that starts from a mare pool that may have been fed by rille 186</t>
  </si>
  <si>
    <t>Small narrow channel that originates in an elongate source NE of Rima Bode</t>
  </si>
  <si>
    <t>Rille east of Marius rise that changes in width along the rille length, is clearly embayed on both ends, and is superposed by ejecta from Kepler to the southeast</t>
  </si>
  <si>
    <t>Small rille south of rille 27; appears to be embayed on either end, and it might have formed along the southeastern edge of a cone associated with the Marius Hills</t>
  </si>
  <si>
    <t>Small rille south of Rima Euler, completely embayed, no sign of source or deposits, NE of rille 100</t>
  </si>
  <si>
    <t>Schrodinger</t>
  </si>
  <si>
    <t>Small rille in mare patch near central Schrodinger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</si>
</sst>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sz val="11"/>
      <color theme="1"/>
      <name val="Times New Roman"/>
      <family val="1"/>
    </font>
    <font>
      <vertAlign val="superscript"/>
      <sz val="11"/>
      <color theme="1"/>
      <name val="Times New Roman"/>
      <family val="1"/>
    </font>
  </fonts>
  <fills count="3">
    <fill>
      <patternFill patternType="none"/>
    </fill>
    <fill>
      <patternFill patternType="gray125"/>
    </fill>
    <fill>
      <patternFill patternType="solid">
        <fgColor theme="0" tint="-0.14999847407452621"/>
        <bgColor indexed="64"/>
      </patternFill>
    </fill>
  </fills>
  <borders count="12">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s>
  <cellStyleXfs count="1">
    <xf numFmtId="0" fontId="0" fillId="0" borderId="0"/>
  </cellStyleXfs>
  <cellXfs count="83">
    <xf numFmtId="0" fontId="0" fillId="0" borderId="0" xfId="0"/>
    <xf numFmtId="0" fontId="0" fillId="0" borderId="0" xfId="0" applyAlignment="1">
      <alignment horizontal="center" vertical="center"/>
    </xf>
    <xf numFmtId="0" fontId="1" fillId="0" borderId="0" xfId="0" applyFont="1" applyAlignment="1">
      <alignment horizontal="left" vertical="center"/>
    </xf>
    <xf numFmtId="0" fontId="0" fillId="0" borderId="0" xfId="0" applyAlignment="1">
      <alignment horizontal="center" vertical="center" wrapText="1"/>
    </xf>
    <xf numFmtId="2" fontId="0" fillId="0" borderId="0" xfId="0" applyNumberForma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2" fontId="1" fillId="0" borderId="3" xfId="0" applyNumberFormat="1"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2" fontId="1" fillId="0" borderId="7" xfId="0" applyNumberFormat="1" applyFont="1" applyBorder="1" applyAlignment="1">
      <alignment horizontal="center" vertical="center"/>
    </xf>
    <xf numFmtId="3" fontId="1" fillId="0" borderId="9" xfId="0" applyNumberFormat="1" applyFont="1" applyBorder="1" applyAlignment="1">
      <alignment horizontal="center" vertical="center"/>
    </xf>
    <xf numFmtId="0" fontId="1" fillId="0" borderId="0" xfId="0" applyFont="1" applyBorder="1" applyAlignment="1">
      <alignment horizontal="center" vertical="center"/>
    </xf>
    <xf numFmtId="0" fontId="1" fillId="0" borderId="10" xfId="0" applyFont="1" applyBorder="1" applyAlignment="1">
      <alignment horizontal="center" vertical="center"/>
    </xf>
    <xf numFmtId="164" fontId="1" fillId="0" borderId="9" xfId="0" applyNumberFormat="1" applyFont="1" applyBorder="1" applyAlignment="1">
      <alignment horizontal="center" vertical="center"/>
    </xf>
    <xf numFmtId="164" fontId="1" fillId="0" borderId="10" xfId="0" applyNumberFormat="1" applyFont="1" applyBorder="1" applyAlignment="1">
      <alignment horizontal="center" vertical="center"/>
    </xf>
    <xf numFmtId="2" fontId="1" fillId="0" borderId="9" xfId="0" applyNumberFormat="1" applyFont="1" applyBorder="1" applyAlignment="1">
      <alignment horizontal="center" vertical="center"/>
    </xf>
    <xf numFmtId="2" fontId="1" fillId="0" borderId="10" xfId="0" applyNumberFormat="1" applyFont="1" applyBorder="1" applyAlignment="1">
      <alignment horizontal="center" vertical="center"/>
    </xf>
    <xf numFmtId="2" fontId="1" fillId="0" borderId="0" xfId="0" applyNumberFormat="1" applyFont="1" applyBorder="1" applyAlignment="1">
      <alignment horizontal="center" vertical="center"/>
    </xf>
    <xf numFmtId="0" fontId="1" fillId="0" borderId="1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left" vertical="center" wrapText="1" indent="1"/>
    </xf>
    <xf numFmtId="3" fontId="1" fillId="2" borderId="9" xfId="0" applyNumberFormat="1" applyFont="1" applyFill="1" applyBorder="1" applyAlignment="1">
      <alignment horizontal="center" vertical="center"/>
    </xf>
    <xf numFmtId="0" fontId="1" fillId="2" borderId="0" xfId="0" applyFont="1" applyFill="1" applyBorder="1" applyAlignment="1">
      <alignment horizontal="center" vertical="center" wrapText="1"/>
    </xf>
    <xf numFmtId="0" fontId="1" fillId="2" borderId="10" xfId="0" applyFont="1" applyFill="1" applyBorder="1" applyAlignment="1">
      <alignment horizontal="center" vertical="center"/>
    </xf>
    <xf numFmtId="164" fontId="1" fillId="2" borderId="9" xfId="0" applyNumberFormat="1" applyFont="1" applyFill="1" applyBorder="1" applyAlignment="1">
      <alignment horizontal="center" vertical="center"/>
    </xf>
    <xf numFmtId="164" fontId="1" fillId="2" borderId="10" xfId="0" applyNumberFormat="1" applyFont="1" applyFill="1" applyBorder="1" applyAlignment="1">
      <alignment horizontal="center" vertical="center"/>
    </xf>
    <xf numFmtId="2" fontId="1" fillId="2" borderId="9" xfId="0" applyNumberFormat="1" applyFont="1" applyFill="1" applyBorder="1" applyAlignment="1">
      <alignment horizontal="center" vertical="center"/>
    </xf>
    <xf numFmtId="2" fontId="1" fillId="2" borderId="10" xfId="0" applyNumberFormat="1" applyFont="1" applyFill="1" applyBorder="1" applyAlignment="1">
      <alignment horizontal="center" vertical="center"/>
    </xf>
    <xf numFmtId="2" fontId="1" fillId="2" borderId="0" xfId="0" applyNumberFormat="1" applyFont="1" applyFill="1" applyBorder="1" applyAlignment="1">
      <alignment horizontal="center" vertical="center"/>
    </xf>
    <xf numFmtId="0" fontId="1" fillId="2" borderId="11" xfId="0" applyFont="1" applyFill="1" applyBorder="1" applyAlignment="1">
      <alignment horizontal="left" vertical="center" wrapText="1" indent="1"/>
    </xf>
    <xf numFmtId="0" fontId="1" fillId="2" borderId="0" xfId="0" applyFont="1" applyFill="1" applyBorder="1" applyAlignment="1">
      <alignment horizontal="center" vertical="center"/>
    </xf>
    <xf numFmtId="0" fontId="1" fillId="2" borderId="10" xfId="0" applyFont="1" applyFill="1" applyBorder="1" applyAlignment="1">
      <alignment horizontal="center" vertical="center" wrapText="1"/>
    </xf>
    <xf numFmtId="3" fontId="1" fillId="2" borderId="5" xfId="0" applyNumberFormat="1" applyFont="1" applyFill="1" applyBorder="1" applyAlignment="1">
      <alignment horizontal="center" vertical="center"/>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xf>
    <xf numFmtId="164" fontId="1" fillId="2" borderId="5" xfId="0" applyNumberFormat="1" applyFont="1" applyFill="1" applyBorder="1" applyAlignment="1">
      <alignment horizontal="center" vertical="center"/>
    </xf>
    <xf numFmtId="164" fontId="1" fillId="2" borderId="7" xfId="0" applyNumberFormat="1" applyFont="1" applyFill="1" applyBorder="1" applyAlignment="1">
      <alignment horizontal="center" vertical="center"/>
    </xf>
    <xf numFmtId="2" fontId="1" fillId="2" borderId="5" xfId="0" applyNumberFormat="1" applyFont="1" applyFill="1" applyBorder="1" applyAlignment="1">
      <alignment horizontal="center" vertical="center"/>
    </xf>
    <xf numFmtId="2" fontId="1" fillId="2" borderId="7" xfId="0" applyNumberFormat="1" applyFont="1" applyFill="1" applyBorder="1" applyAlignment="1">
      <alignment horizontal="center" vertical="center"/>
    </xf>
    <xf numFmtId="2" fontId="1" fillId="2" borderId="6" xfId="0" applyNumberFormat="1" applyFont="1" applyFill="1" applyBorder="1" applyAlignment="1">
      <alignment horizontal="center" vertical="center"/>
    </xf>
    <xf numFmtId="0" fontId="1" fillId="2" borderId="8" xfId="0" applyFont="1" applyFill="1" applyBorder="1" applyAlignment="1">
      <alignment horizontal="left" vertical="center" wrapText="1" indent="1"/>
    </xf>
    <xf numFmtId="0" fontId="1" fillId="2" borderId="6" xfId="0" applyFont="1" applyFill="1" applyBorder="1" applyAlignment="1">
      <alignment horizontal="center" vertical="center"/>
    </xf>
    <xf numFmtId="0" fontId="1" fillId="2" borderId="8"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8" xfId="0" applyFont="1" applyBorder="1" applyAlignment="1">
      <alignment horizontal="center" vertical="center"/>
    </xf>
    <xf numFmtId="164" fontId="1" fillId="0" borderId="11" xfId="0" applyNumberFormat="1" applyFont="1" applyBorder="1" applyAlignment="1">
      <alignment horizontal="center"/>
    </xf>
    <xf numFmtId="164" fontId="1" fillId="2" borderId="11" xfId="0" applyNumberFormat="1" applyFont="1" applyFill="1" applyBorder="1" applyAlignment="1">
      <alignment horizontal="center"/>
    </xf>
    <xf numFmtId="164" fontId="1" fillId="2" borderId="11" xfId="0" applyNumberFormat="1" applyFont="1" applyFill="1" applyBorder="1" applyAlignment="1">
      <alignment horizontal="center" vertical="center"/>
    </xf>
    <xf numFmtId="164" fontId="1" fillId="0" borderId="11" xfId="0" applyNumberFormat="1" applyFont="1" applyFill="1" applyBorder="1" applyAlignment="1">
      <alignment horizontal="center"/>
    </xf>
    <xf numFmtId="164" fontId="1" fillId="0" borderId="11" xfId="0" applyNumberFormat="1" applyFont="1" applyBorder="1" applyAlignment="1">
      <alignment horizontal="center" vertical="center"/>
    </xf>
    <xf numFmtId="3" fontId="1" fillId="0" borderId="9"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1" fillId="0" borderId="10" xfId="0" applyFont="1" applyFill="1" applyBorder="1" applyAlignment="1">
      <alignment horizontal="center" vertical="center"/>
    </xf>
    <xf numFmtId="164" fontId="1" fillId="0" borderId="9" xfId="0" applyNumberFormat="1" applyFont="1" applyFill="1" applyBorder="1" applyAlignment="1">
      <alignment horizontal="center" vertical="center"/>
    </xf>
    <xf numFmtId="2" fontId="1" fillId="0" borderId="9" xfId="0" applyNumberFormat="1" applyFont="1" applyFill="1" applyBorder="1" applyAlignment="1">
      <alignment horizontal="center" vertical="center"/>
    </xf>
    <xf numFmtId="2" fontId="1" fillId="0" borderId="10" xfId="0" applyNumberFormat="1" applyFont="1" applyFill="1" applyBorder="1" applyAlignment="1">
      <alignment horizontal="center" vertical="center"/>
    </xf>
    <xf numFmtId="2" fontId="1" fillId="0" borderId="0" xfId="0" applyNumberFormat="1" applyFont="1" applyFill="1" applyBorder="1" applyAlignment="1">
      <alignment horizontal="center" vertical="center"/>
    </xf>
    <xf numFmtId="0" fontId="1" fillId="0" borderId="11" xfId="0" applyFont="1" applyFill="1" applyBorder="1" applyAlignment="1">
      <alignment horizontal="left" vertical="center" wrapText="1" indent="1"/>
    </xf>
    <xf numFmtId="3" fontId="1" fillId="0" borderId="5" xfId="0" applyNumberFormat="1"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wrapText="1"/>
    </xf>
    <xf numFmtId="164" fontId="1" fillId="0" borderId="5" xfId="0" applyNumberFormat="1" applyFont="1" applyFill="1" applyBorder="1" applyAlignment="1">
      <alignment horizontal="center" vertical="center"/>
    </xf>
    <xf numFmtId="2" fontId="1" fillId="0" borderId="5" xfId="0" applyNumberFormat="1" applyFont="1" applyFill="1" applyBorder="1" applyAlignment="1">
      <alignment horizontal="center" vertical="center"/>
    </xf>
    <xf numFmtId="2" fontId="1" fillId="0" borderId="7" xfId="0" applyNumberFormat="1" applyFont="1" applyFill="1" applyBorder="1" applyAlignment="1">
      <alignment horizontal="center" vertical="center"/>
    </xf>
    <xf numFmtId="2" fontId="1" fillId="0" borderId="6" xfId="0" applyNumberFormat="1" applyFont="1" applyFill="1" applyBorder="1" applyAlignment="1">
      <alignment horizontal="center" vertical="center"/>
    </xf>
    <xf numFmtId="0" fontId="1" fillId="0" borderId="8" xfId="0" applyFont="1" applyFill="1" applyBorder="1" applyAlignment="1">
      <alignment horizontal="left" vertical="center" wrapText="1" indent="1"/>
    </xf>
    <xf numFmtId="0" fontId="0" fillId="0" borderId="0" xfId="0" applyBorder="1" applyAlignment="1">
      <alignment horizontal="center" vertical="center"/>
    </xf>
    <xf numFmtId="164" fontId="1" fillId="0" borderId="10" xfId="0" applyNumberFormat="1" applyFont="1" applyFill="1" applyBorder="1" applyAlignment="1">
      <alignment horizontal="center" vertical="center"/>
    </xf>
    <xf numFmtId="164" fontId="1" fillId="0" borderId="7" xfId="0" applyNumberFormat="1" applyFont="1" applyBorder="1" applyAlignment="1">
      <alignment horizontal="center" vertical="center"/>
    </xf>
    <xf numFmtId="0" fontId="1" fillId="0" borderId="11" xfId="0" applyFont="1" applyBorder="1" applyAlignment="1">
      <alignment horizontal="left" vertical="center" indent="1"/>
    </xf>
    <xf numFmtId="0" fontId="0" fillId="0" borderId="0" xfId="0" applyFont="1" applyAlignment="1">
      <alignment horizontal="center" vertical="center"/>
    </xf>
    <xf numFmtId="0" fontId="1" fillId="0" borderId="4"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 xfId="0" applyFont="1" applyBorder="1" applyAlignment="1">
      <alignment horizontal="center" vertical="center"/>
    </xf>
    <xf numFmtId="0" fontId="1" fillId="0" borderId="5" xfId="0" applyFont="1" applyBorder="1" applyAlignment="1">
      <alignment horizontal="center" vertical="center"/>
    </xf>
    <xf numFmtId="0" fontId="1" fillId="0" borderId="2" xfId="0" applyFont="1" applyBorder="1" applyAlignment="1">
      <alignment horizontal="center" vertical="center"/>
    </xf>
    <xf numFmtId="0" fontId="1" fillId="0" borderId="6" xfId="0" applyFont="1" applyBorder="1" applyAlignment="1">
      <alignment horizontal="center" vertical="center"/>
    </xf>
    <xf numFmtId="0" fontId="1" fillId="0" borderId="3" xfId="0" applyFont="1" applyBorder="1" applyAlignment="1">
      <alignment horizontal="center" vertical="center"/>
    </xf>
    <xf numFmtId="0" fontId="1" fillId="0" borderId="7" xfId="0"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6"/>
  <sheetViews>
    <sheetView tabSelected="1" zoomScale="55" zoomScaleNormal="55" workbookViewId="0">
      <pane ySplit="3" topLeftCell="A4" activePane="bottomLeft" state="frozen"/>
      <selection pane="bottomLeft" activeCell="A4" sqref="A4"/>
    </sheetView>
  </sheetViews>
  <sheetFormatPr defaultRowHeight="15" x14ac:dyDescent="0.25"/>
  <cols>
    <col min="1" max="1" width="9.140625" style="1" customWidth="1"/>
    <col min="2" max="2" width="15.7109375" style="3" customWidth="1"/>
    <col min="3" max="3" width="14.5703125" style="1" customWidth="1"/>
    <col min="4" max="4" width="9.140625" style="70" customWidth="1"/>
    <col min="5" max="11" width="9.140625" style="1" customWidth="1"/>
    <col min="12" max="12" width="7.7109375" style="4" customWidth="1"/>
    <col min="13" max="13" width="9.140625" style="4" customWidth="1"/>
    <col min="14" max="14" width="11.5703125" style="1" customWidth="1"/>
    <col min="15" max="15" width="12.85546875" style="1" customWidth="1"/>
    <col min="16" max="16" width="14.5703125" style="1" customWidth="1"/>
    <col min="17" max="17" width="74.42578125" style="3" customWidth="1"/>
    <col min="18" max="16384" width="9.140625" style="1"/>
  </cols>
  <sheetData>
    <row r="1" spans="1:17" x14ac:dyDescent="0.25">
      <c r="A1" s="2" t="s">
        <v>0</v>
      </c>
      <c r="E1" s="70"/>
    </row>
    <row r="2" spans="1:17" x14ac:dyDescent="0.25">
      <c r="A2" s="77" t="s">
        <v>1</v>
      </c>
      <c r="B2" s="79" t="s">
        <v>2</v>
      </c>
      <c r="C2" s="81" t="s">
        <v>3</v>
      </c>
      <c r="D2" s="77" t="s">
        <v>4</v>
      </c>
      <c r="E2" s="81" t="s">
        <v>5</v>
      </c>
      <c r="F2" s="5" t="s">
        <v>6</v>
      </c>
      <c r="G2" s="7" t="s">
        <v>7</v>
      </c>
      <c r="H2" s="5" t="s">
        <v>8</v>
      </c>
      <c r="I2" s="7" t="s">
        <v>9</v>
      </c>
      <c r="J2" s="5" t="s">
        <v>10</v>
      </c>
      <c r="K2" s="7" t="s">
        <v>9</v>
      </c>
      <c r="L2" s="5" t="s">
        <v>11</v>
      </c>
      <c r="M2" s="8" t="s">
        <v>12</v>
      </c>
      <c r="N2" s="5" t="s">
        <v>13</v>
      </c>
      <c r="O2" s="6" t="s">
        <v>14</v>
      </c>
      <c r="P2" s="7" t="s">
        <v>15</v>
      </c>
      <c r="Q2" s="75" t="s">
        <v>16</v>
      </c>
    </row>
    <row r="3" spans="1:17" ht="18" x14ac:dyDescent="0.25">
      <c r="A3" s="78"/>
      <c r="B3" s="80"/>
      <c r="C3" s="82"/>
      <c r="D3" s="78"/>
      <c r="E3" s="82"/>
      <c r="F3" s="9" t="s">
        <v>17</v>
      </c>
      <c r="G3" s="11" t="s">
        <v>17</v>
      </c>
      <c r="H3" s="9" t="s">
        <v>17</v>
      </c>
      <c r="I3" s="11" t="s">
        <v>17</v>
      </c>
      <c r="J3" s="9" t="s">
        <v>18</v>
      </c>
      <c r="K3" s="11" t="s">
        <v>18</v>
      </c>
      <c r="L3" s="9" t="s">
        <v>19</v>
      </c>
      <c r="M3" s="12"/>
      <c r="N3" s="9" t="s">
        <v>20</v>
      </c>
      <c r="O3" s="10" t="s">
        <v>18</v>
      </c>
      <c r="P3" s="11" t="s">
        <v>21</v>
      </c>
      <c r="Q3" s="76"/>
    </row>
    <row r="4" spans="1:17" ht="30" x14ac:dyDescent="0.25">
      <c r="A4" s="13">
        <v>1</v>
      </c>
      <c r="B4" s="14" t="s">
        <v>22</v>
      </c>
      <c r="C4" s="15" t="s">
        <v>23</v>
      </c>
      <c r="D4" s="16">
        <v>-18.100000000000001</v>
      </c>
      <c r="E4" s="17">
        <v>326.7</v>
      </c>
      <c r="F4" s="18">
        <f>AVERAGE(72.79302672,73.41493644)</f>
        <v>73.10398158000001</v>
      </c>
      <c r="G4" s="19">
        <f>STDEV(72.79302672,73.41493644)</f>
        <v>0.4397565802978306</v>
      </c>
      <c r="H4" s="18">
        <v>0.21713243350000003</v>
      </c>
      <c r="I4" s="19">
        <v>1.9575406352140078E-2</v>
      </c>
      <c r="J4" s="18">
        <v>19.111111111111111</v>
      </c>
      <c r="K4" s="19">
        <v>3.8387642687603369</v>
      </c>
      <c r="L4" s="18">
        <v>-0.1</v>
      </c>
      <c r="M4" s="19">
        <v>1.1874593545745304</v>
      </c>
      <c r="N4" s="18" t="s">
        <v>24</v>
      </c>
      <c r="O4" s="20" t="s">
        <v>24</v>
      </c>
      <c r="P4" s="19" t="s">
        <v>24</v>
      </c>
      <c r="Q4" s="24" t="s">
        <v>25</v>
      </c>
    </row>
    <row r="5" spans="1:17" ht="30" x14ac:dyDescent="0.25">
      <c r="A5" s="25">
        <v>2</v>
      </c>
      <c r="B5" s="26" t="s">
        <v>22</v>
      </c>
      <c r="C5" s="27" t="s">
        <v>23</v>
      </c>
      <c r="D5" s="28">
        <v>-16.100000000000001</v>
      </c>
      <c r="E5" s="29">
        <v>332.6</v>
      </c>
      <c r="F5" s="30">
        <f>AVERAGE(69.53285123,72.56989448)</f>
        <v>71.051372855000011</v>
      </c>
      <c r="G5" s="31">
        <f>STDEV(69.53285123,72.56989448)</f>
        <v>2.1475138768318285</v>
      </c>
      <c r="H5" s="30">
        <v>0.26611667539999995</v>
      </c>
      <c r="I5" s="31">
        <v>3.3466257873709819E-2</v>
      </c>
      <c r="J5" s="30">
        <v>17.5</v>
      </c>
      <c r="K5" s="31">
        <v>5.2982476887579137</v>
      </c>
      <c r="L5" s="30">
        <v>-0.04</v>
      </c>
      <c r="M5" s="31">
        <v>1.1192335940495584</v>
      </c>
      <c r="N5" s="30" t="s">
        <v>24</v>
      </c>
      <c r="O5" s="32" t="s">
        <v>24</v>
      </c>
      <c r="P5" s="31" t="s">
        <v>24</v>
      </c>
      <c r="Q5" s="33" t="s">
        <v>26</v>
      </c>
    </row>
    <row r="6" spans="1:17" ht="15" customHeight="1" x14ac:dyDescent="0.25">
      <c r="A6" s="13">
        <v>3</v>
      </c>
      <c r="B6" s="22" t="s">
        <v>22</v>
      </c>
      <c r="C6" s="15" t="s">
        <v>23</v>
      </c>
      <c r="D6" s="16">
        <v>-16</v>
      </c>
      <c r="E6" s="17">
        <v>334.8</v>
      </c>
      <c r="F6" s="18">
        <f>AVERAGE(15.18937056,14.54370136)</f>
        <v>14.86653596</v>
      </c>
      <c r="G6" s="19">
        <f>STDEV(15.18937056,14.54370136)</f>
        <v>0.45655706972329346</v>
      </c>
      <c r="H6" s="18">
        <v>0.18848630624999999</v>
      </c>
      <c r="I6" s="19">
        <v>9.9337599453000192E-2</v>
      </c>
      <c r="J6" s="18">
        <v>52.75</v>
      </c>
      <c r="K6" s="19">
        <v>12.854419905663232</v>
      </c>
      <c r="L6" s="18">
        <v>-0.26</v>
      </c>
      <c r="M6" s="19">
        <v>1.1188593146058194</v>
      </c>
      <c r="N6" s="18" t="s">
        <v>24</v>
      </c>
      <c r="O6" s="20" t="s">
        <v>24</v>
      </c>
      <c r="P6" s="19" t="s">
        <v>24</v>
      </c>
      <c r="Q6" s="24" t="s">
        <v>27</v>
      </c>
    </row>
    <row r="7" spans="1:17" x14ac:dyDescent="0.25">
      <c r="A7" s="25">
        <v>4</v>
      </c>
      <c r="B7" s="26" t="s">
        <v>22</v>
      </c>
      <c r="C7" s="27" t="s">
        <v>23</v>
      </c>
      <c r="D7" s="28">
        <v>-15.3</v>
      </c>
      <c r="E7" s="29">
        <v>333.7</v>
      </c>
      <c r="F7" s="30">
        <f>AVERAGE(173.4768393,173.5139103)</f>
        <v>173.49537479999998</v>
      </c>
      <c r="G7" s="31">
        <f>STDEV(173.4768393,173.5139103)</f>
        <v>2.621315548536467E-2</v>
      </c>
      <c r="H7" s="30">
        <v>0.28586146692857139</v>
      </c>
      <c r="I7" s="31">
        <v>4.1794186613618639E-2</v>
      </c>
      <c r="J7" s="30">
        <v>18.175000000000001</v>
      </c>
      <c r="K7" s="31">
        <v>7.3749293781929408</v>
      </c>
      <c r="L7" s="30">
        <v>-0.13</v>
      </c>
      <c r="M7" s="31">
        <v>1.3635346200935778</v>
      </c>
      <c r="N7" s="30" t="s">
        <v>24</v>
      </c>
      <c r="O7" s="32" t="s">
        <v>24</v>
      </c>
      <c r="P7" s="31" t="s">
        <v>24</v>
      </c>
      <c r="Q7" s="33" t="s">
        <v>28</v>
      </c>
    </row>
    <row r="8" spans="1:17" ht="30" x14ac:dyDescent="0.25">
      <c r="A8" s="13">
        <v>5</v>
      </c>
      <c r="B8" s="14" t="s">
        <v>22</v>
      </c>
      <c r="C8" s="15" t="s">
        <v>23</v>
      </c>
      <c r="D8" s="16">
        <v>-15</v>
      </c>
      <c r="E8" s="17">
        <v>324.10000000000002</v>
      </c>
      <c r="F8" s="18">
        <f>AVERAGE(97.34311965,94.37402134)</f>
        <v>95.858570495000009</v>
      </c>
      <c r="G8" s="19">
        <f>STDEV(97.34311965,94.37402134)</f>
        <v>2.0994695490105229</v>
      </c>
      <c r="H8" s="18">
        <v>0.29814541847999998</v>
      </c>
      <c r="I8" s="19">
        <v>9.1960918247865356E-2</v>
      </c>
      <c r="J8" s="18">
        <v>38.9</v>
      </c>
      <c r="K8" s="19">
        <v>10.060373308735171</v>
      </c>
      <c r="L8" s="18">
        <v>-0.08</v>
      </c>
      <c r="M8" s="19">
        <v>1.2136169513644266</v>
      </c>
      <c r="N8" s="18">
        <v>1.494157</v>
      </c>
      <c r="O8" s="20">
        <v>44.25</v>
      </c>
      <c r="P8" s="19">
        <f>N8*(O8/1000)</f>
        <v>6.6116447249999988E-2</v>
      </c>
      <c r="Q8" s="24" t="s">
        <v>29</v>
      </c>
    </row>
    <row r="9" spans="1:17" ht="30" x14ac:dyDescent="0.25">
      <c r="A9" s="25">
        <v>6</v>
      </c>
      <c r="B9" s="34" t="s">
        <v>22</v>
      </c>
      <c r="C9" s="27" t="s">
        <v>23</v>
      </c>
      <c r="D9" s="28">
        <v>-13.5</v>
      </c>
      <c r="E9" s="29">
        <v>325.39999999999998</v>
      </c>
      <c r="F9" s="30">
        <f>AVERAGE(85.11617426,84.79723596)</f>
        <v>84.956705110000001</v>
      </c>
      <c r="G9" s="31">
        <f>STDEV(85.11617426,84.79723596)</f>
        <v>0.22552343471010891</v>
      </c>
      <c r="H9" s="30">
        <v>0.2881432805555556</v>
      </c>
      <c r="I9" s="31">
        <v>4.816573739730054E-2</v>
      </c>
      <c r="J9" s="30">
        <v>17.488888888888898</v>
      </c>
      <c r="K9" s="31">
        <v>7.396019950697192</v>
      </c>
      <c r="L9" s="30">
        <v>-0.3</v>
      </c>
      <c r="M9" s="31">
        <v>1.104492601399641</v>
      </c>
      <c r="N9" s="30" t="s">
        <v>24</v>
      </c>
      <c r="O9" s="32" t="s">
        <v>24</v>
      </c>
      <c r="P9" s="31" t="s">
        <v>24</v>
      </c>
      <c r="Q9" s="33" t="s">
        <v>30</v>
      </c>
    </row>
    <row r="10" spans="1:17" x14ac:dyDescent="0.25">
      <c r="A10" s="13">
        <v>7</v>
      </c>
      <c r="B10" s="14" t="s">
        <v>22</v>
      </c>
      <c r="C10" s="15" t="s">
        <v>31</v>
      </c>
      <c r="D10" s="16">
        <v>-12.5</v>
      </c>
      <c r="E10" s="17">
        <v>322.60000000000002</v>
      </c>
      <c r="F10" s="18">
        <f>AVERAGE(237.5597129,227.0499008)</f>
        <v>232.30480684999998</v>
      </c>
      <c r="G10" s="19">
        <f>STDEV(237.5597129,227.0499008)</f>
        <v>7.4315594049064329</v>
      </c>
      <c r="H10" s="18">
        <v>0.36802698835714287</v>
      </c>
      <c r="I10" s="19">
        <v>0.1649267537699996</v>
      </c>
      <c r="J10" s="18">
        <v>57.8125</v>
      </c>
      <c r="K10" s="19">
        <v>33.390578110025878</v>
      </c>
      <c r="L10" s="18">
        <v>-0.08</v>
      </c>
      <c r="M10" s="19">
        <v>1.2294535269686626</v>
      </c>
      <c r="N10" s="18">
        <v>5.7415240000000001</v>
      </c>
      <c r="O10" s="20">
        <v>285</v>
      </c>
      <c r="P10" s="19">
        <f>N10*(O10/1000)</f>
        <v>1.6363343399999999</v>
      </c>
      <c r="Q10" s="24" t="s">
        <v>32</v>
      </c>
    </row>
    <row r="11" spans="1:17" x14ac:dyDescent="0.25">
      <c r="A11" s="25">
        <v>7</v>
      </c>
      <c r="B11" s="34" t="s">
        <v>22</v>
      </c>
      <c r="C11" s="27" t="s">
        <v>33</v>
      </c>
      <c r="D11" s="28">
        <v>-11.9</v>
      </c>
      <c r="E11" s="29">
        <v>324.2</v>
      </c>
      <c r="F11" s="30">
        <f>AVERAGE(311.2438305,307.1087332)</f>
        <v>309.17628185000001</v>
      </c>
      <c r="G11" s="31">
        <f>STDEV(311.2438305,307.1087332)</f>
        <v>2.9239553416961721</v>
      </c>
      <c r="H11" s="30">
        <v>0.40120548657142852</v>
      </c>
      <c r="I11" s="31">
        <v>0.15918207777282686</v>
      </c>
      <c r="J11" s="30">
        <v>66.03125</v>
      </c>
      <c r="K11" s="31">
        <v>35.691992754316672</v>
      </c>
      <c r="L11" s="30">
        <v>-0.12</v>
      </c>
      <c r="M11" s="31">
        <v>1.2671929981802779</v>
      </c>
      <c r="N11" s="30">
        <v>5.8519839999999999</v>
      </c>
      <c r="O11" s="32">
        <v>244</v>
      </c>
      <c r="P11" s="31">
        <f>N11*(O11/1000)</f>
        <v>1.4278840959999999</v>
      </c>
      <c r="Q11" s="33" t="s">
        <v>34</v>
      </c>
    </row>
    <row r="12" spans="1:17" x14ac:dyDescent="0.25">
      <c r="A12" s="13">
        <v>7</v>
      </c>
      <c r="B12" s="14" t="s">
        <v>22</v>
      </c>
      <c r="C12" s="15" t="s">
        <v>35</v>
      </c>
      <c r="D12" s="16">
        <v>-11.7</v>
      </c>
      <c r="E12" s="17">
        <v>324.60000000000002</v>
      </c>
      <c r="F12" s="18">
        <f>AVERAGE(317.7686914,304.69246)</f>
        <v>311.23057570000003</v>
      </c>
      <c r="G12" s="19">
        <f>STDEV(317.7686914,304.69246)</f>
        <v>9.2462918953044912</v>
      </c>
      <c r="H12" s="18">
        <v>0.42360745186206888</v>
      </c>
      <c r="I12" s="19">
        <v>0.21193988928784449</v>
      </c>
      <c r="J12" s="18">
        <v>66.03125</v>
      </c>
      <c r="K12" s="19">
        <v>35.691992754316672</v>
      </c>
      <c r="L12" s="18">
        <v>-7.0000000000000007E-2</v>
      </c>
      <c r="M12" s="19">
        <v>1.2706245708230843</v>
      </c>
      <c r="N12" s="18">
        <v>0.70131900000000003</v>
      </c>
      <c r="O12" s="20">
        <v>213</v>
      </c>
      <c r="P12" s="19">
        <f>N12*(O12/1000)</f>
        <v>0.14938094700000001</v>
      </c>
      <c r="Q12" s="24" t="s">
        <v>36</v>
      </c>
    </row>
    <row r="13" spans="1:17" x14ac:dyDescent="0.25">
      <c r="A13" s="25">
        <v>8</v>
      </c>
      <c r="B13" s="34" t="s">
        <v>22</v>
      </c>
      <c r="C13" s="27" t="s">
        <v>23</v>
      </c>
      <c r="D13" s="28">
        <v>-6.3</v>
      </c>
      <c r="E13" s="29">
        <v>333.5</v>
      </c>
      <c r="F13" s="30">
        <f>AVERAGE(6.688311438,6.639280026)</f>
        <v>6.6637957320000005</v>
      </c>
      <c r="G13" s="31">
        <f>STDEV(6.688311438,6.639280026)</f>
        <v>3.4670443916351885E-2</v>
      </c>
      <c r="H13" s="30">
        <v>0.28439688439999999</v>
      </c>
      <c r="I13" s="31">
        <v>2.9465751554252715E-2</v>
      </c>
      <c r="J13" s="30">
        <v>32.75</v>
      </c>
      <c r="K13" s="31">
        <v>8.9582364335844584</v>
      </c>
      <c r="L13" s="30">
        <v>-0.35</v>
      </c>
      <c r="M13" s="31">
        <v>1.2538047747267551</v>
      </c>
      <c r="N13" s="30" t="s">
        <v>24</v>
      </c>
      <c r="O13" s="32" t="s">
        <v>24</v>
      </c>
      <c r="P13" s="31" t="s">
        <v>24</v>
      </c>
      <c r="Q13" s="33" t="s">
        <v>37</v>
      </c>
    </row>
    <row r="14" spans="1:17" x14ac:dyDescent="0.25">
      <c r="A14" s="13">
        <v>9</v>
      </c>
      <c r="B14" s="14" t="s">
        <v>22</v>
      </c>
      <c r="C14" s="15" t="s">
        <v>23</v>
      </c>
      <c r="D14" s="16">
        <v>-6</v>
      </c>
      <c r="E14" s="17">
        <v>309.7</v>
      </c>
      <c r="F14" s="18">
        <f>AVERAGE(18.71924875,18.90664122)</f>
        <v>18.812944985000001</v>
      </c>
      <c r="G14" s="19">
        <f>STDEV(18.71924875,18.90664122)</f>
        <v>0.13250648628029843</v>
      </c>
      <c r="H14" s="18">
        <v>0.40283413388888883</v>
      </c>
      <c r="I14" s="19">
        <v>2.8411509004843745E-2</v>
      </c>
      <c r="J14" s="18">
        <v>42.8</v>
      </c>
      <c r="K14" s="19">
        <v>9.3514704726048201</v>
      </c>
      <c r="L14" s="18">
        <v>-0.43</v>
      </c>
      <c r="M14" s="19">
        <v>1.3941744997763337</v>
      </c>
      <c r="N14" s="18" t="s">
        <v>24</v>
      </c>
      <c r="O14" s="20" t="s">
        <v>24</v>
      </c>
      <c r="P14" s="19" t="s">
        <v>24</v>
      </c>
      <c r="Q14" s="24" t="s">
        <v>38</v>
      </c>
    </row>
    <row r="15" spans="1:17" ht="30" x14ac:dyDescent="0.25">
      <c r="A15" s="25">
        <v>10</v>
      </c>
      <c r="B15" s="34" t="s">
        <v>22</v>
      </c>
      <c r="C15" s="27" t="s">
        <v>23</v>
      </c>
      <c r="D15" s="28">
        <v>-1.3</v>
      </c>
      <c r="E15" s="29">
        <v>334.3</v>
      </c>
      <c r="F15" s="30">
        <f>AVERAGE(17.6823935,17.26300508)</f>
        <v>17.472699290000001</v>
      </c>
      <c r="G15" s="31">
        <f>STDEV(17.6823935,17.26300508)</f>
        <v>0.29655239573311237</v>
      </c>
      <c r="H15" s="30">
        <v>0.62481015271428564</v>
      </c>
      <c r="I15" s="31">
        <v>0.15799760074875904</v>
      </c>
      <c r="J15" s="30" t="s">
        <v>24</v>
      </c>
      <c r="K15" s="31" t="s">
        <v>24</v>
      </c>
      <c r="L15" s="30">
        <v>-0.22</v>
      </c>
      <c r="M15" s="31">
        <v>1.4384264206887987</v>
      </c>
      <c r="N15" s="30" t="s">
        <v>24</v>
      </c>
      <c r="O15" s="32" t="s">
        <v>24</v>
      </c>
      <c r="P15" s="31" t="s">
        <v>24</v>
      </c>
      <c r="Q15" s="33" t="s">
        <v>39</v>
      </c>
    </row>
    <row r="16" spans="1:17" ht="45" x14ac:dyDescent="0.25">
      <c r="A16" s="13">
        <v>11</v>
      </c>
      <c r="B16" s="14" t="s">
        <v>22</v>
      </c>
      <c r="C16" s="15" t="s">
        <v>23</v>
      </c>
      <c r="D16" s="16">
        <v>-1</v>
      </c>
      <c r="E16" s="17">
        <v>334.7</v>
      </c>
      <c r="F16" s="18">
        <f>AVERAGE(72.79574195,76.92236738)</f>
        <v>74.859054665000002</v>
      </c>
      <c r="G16" s="19">
        <f>STDEV(72.79574195,76.92236738)</f>
        <v>2.9179648249698555</v>
      </c>
      <c r="H16" s="18">
        <v>0.66956670599999979</v>
      </c>
      <c r="I16" s="19">
        <v>0.2518660846397176</v>
      </c>
      <c r="J16" s="18">
        <v>25.666666666666668</v>
      </c>
      <c r="K16" s="19">
        <v>20.641786098429886</v>
      </c>
      <c r="L16" s="18">
        <v>-0.14000000000000001</v>
      </c>
      <c r="M16" s="19">
        <v>1.1976364634375987</v>
      </c>
      <c r="N16" s="18">
        <v>1.5174799999999999</v>
      </c>
      <c r="O16" s="20">
        <v>124</v>
      </c>
      <c r="P16" s="19">
        <f>N16*(O16/1000)</f>
        <v>0.18816752</v>
      </c>
      <c r="Q16" s="24" t="s">
        <v>40</v>
      </c>
    </row>
    <row r="17" spans="1:17" x14ac:dyDescent="0.25">
      <c r="A17" s="25">
        <v>12</v>
      </c>
      <c r="B17" s="26" t="s">
        <v>22</v>
      </c>
      <c r="C17" s="27" t="s">
        <v>23</v>
      </c>
      <c r="D17" s="28">
        <v>1.4</v>
      </c>
      <c r="E17" s="29">
        <v>323</v>
      </c>
      <c r="F17" s="30">
        <f>AVERAGE(9.986143972,9.959865642)</f>
        <v>9.9730048070000006</v>
      </c>
      <c r="G17" s="31">
        <f>STDEV(9.986143972,9.959865642)</f>
        <v>1.8581585341258058E-2</v>
      </c>
      <c r="H17" s="30">
        <v>0.42474857299999996</v>
      </c>
      <c r="I17" s="31">
        <v>6.9746213618786509E-2</v>
      </c>
      <c r="J17" s="30">
        <v>36.5</v>
      </c>
      <c r="K17" s="31">
        <v>10.816653826391969</v>
      </c>
      <c r="L17" s="30">
        <v>-0.2</v>
      </c>
      <c r="M17" s="31">
        <v>1.1223401343431636</v>
      </c>
      <c r="N17" s="30" t="s">
        <v>24</v>
      </c>
      <c r="O17" s="32" t="s">
        <v>24</v>
      </c>
      <c r="P17" s="31" t="s">
        <v>24</v>
      </c>
      <c r="Q17" s="33" t="s">
        <v>41</v>
      </c>
    </row>
    <row r="18" spans="1:17" ht="30" customHeight="1" x14ac:dyDescent="0.25">
      <c r="A18" s="13">
        <v>13</v>
      </c>
      <c r="B18" s="22" t="s">
        <v>22</v>
      </c>
      <c r="C18" s="15" t="s">
        <v>23</v>
      </c>
      <c r="D18" s="16">
        <v>1.6</v>
      </c>
      <c r="E18" s="17">
        <v>313.5</v>
      </c>
      <c r="F18" s="18">
        <f>AVERAGE(75.9827298,76.61552154)</f>
        <v>76.299125669999995</v>
      </c>
      <c r="G18" s="19">
        <f>STDEV(75.9827298,76.61552154)</f>
        <v>0.44745133043283597</v>
      </c>
      <c r="H18" s="18">
        <v>0.1816852937857143</v>
      </c>
      <c r="I18" s="19">
        <v>2.2818879834228967E-2</v>
      </c>
      <c r="J18" s="18">
        <v>10.71875</v>
      </c>
      <c r="K18" s="19">
        <v>5.7932187882533341</v>
      </c>
      <c r="L18" s="18">
        <v>-0.14000000000000001</v>
      </c>
      <c r="M18" s="19">
        <v>1.2653120924166734</v>
      </c>
      <c r="N18" s="18" t="s">
        <v>24</v>
      </c>
      <c r="O18" s="20" t="s">
        <v>24</v>
      </c>
      <c r="P18" s="19" t="s">
        <v>24</v>
      </c>
      <c r="Q18" s="24" t="s">
        <v>42</v>
      </c>
    </row>
    <row r="19" spans="1:17" ht="30" x14ac:dyDescent="0.25">
      <c r="A19" s="25">
        <v>14</v>
      </c>
      <c r="B19" s="26" t="s">
        <v>22</v>
      </c>
      <c r="C19" s="27" t="s">
        <v>23</v>
      </c>
      <c r="D19" s="28">
        <v>3.7</v>
      </c>
      <c r="E19" s="29">
        <v>313.3</v>
      </c>
      <c r="F19" s="30">
        <f>AVERAGE(6.36100711,6.420452902)</f>
        <v>6.3907300060000001</v>
      </c>
      <c r="G19" s="31">
        <f>STDEV(6.36100711,6.420452902)</f>
        <v>4.2034522636205017E-2</v>
      </c>
      <c r="H19" s="30">
        <v>0.1562136395</v>
      </c>
      <c r="I19" s="31">
        <v>1.5375704616766219E-3</v>
      </c>
      <c r="J19" s="30" t="s">
        <v>24</v>
      </c>
      <c r="K19" s="31" t="s">
        <v>24</v>
      </c>
      <c r="L19" s="30">
        <v>-0.4</v>
      </c>
      <c r="M19" s="31">
        <v>1.0997779205877933</v>
      </c>
      <c r="N19" s="30" t="s">
        <v>24</v>
      </c>
      <c r="O19" s="32" t="s">
        <v>24</v>
      </c>
      <c r="P19" s="31" t="s">
        <v>24</v>
      </c>
      <c r="Q19" s="33" t="s">
        <v>258</v>
      </c>
    </row>
    <row r="20" spans="1:17" ht="30" customHeight="1" x14ac:dyDescent="0.25">
      <c r="A20" s="13">
        <v>15</v>
      </c>
      <c r="B20" s="22" t="s">
        <v>22</v>
      </c>
      <c r="C20" s="15" t="s">
        <v>23</v>
      </c>
      <c r="D20" s="16">
        <v>4</v>
      </c>
      <c r="E20" s="17">
        <v>313.39999999999998</v>
      </c>
      <c r="F20" s="18">
        <f>AVERAGE(13.60498687,13.71451819)</f>
        <v>13.659752529999999</v>
      </c>
      <c r="G20" s="19">
        <f>STDEV(13.60498687,13.71451819)</f>
        <v>7.7450339124313941E-2</v>
      </c>
      <c r="H20" s="18">
        <v>0.16369748575000001</v>
      </c>
      <c r="I20" s="19">
        <v>5.0099325098161361E-2</v>
      </c>
      <c r="J20" s="18">
        <v>7.333333333333333</v>
      </c>
      <c r="K20" s="19">
        <v>1.5275252316519452</v>
      </c>
      <c r="L20" s="18">
        <v>-0.17</v>
      </c>
      <c r="M20" s="19">
        <v>1.1480456418335152</v>
      </c>
      <c r="N20" s="18" t="s">
        <v>24</v>
      </c>
      <c r="O20" s="20" t="s">
        <v>24</v>
      </c>
      <c r="P20" s="19" t="s">
        <v>24</v>
      </c>
      <c r="Q20" s="24" t="s">
        <v>43</v>
      </c>
    </row>
    <row r="21" spans="1:17" ht="30" x14ac:dyDescent="0.25">
      <c r="A21" s="25">
        <v>16</v>
      </c>
      <c r="B21" s="26" t="s">
        <v>22</v>
      </c>
      <c r="C21" s="27" t="s">
        <v>23</v>
      </c>
      <c r="D21" s="28">
        <v>4.7</v>
      </c>
      <c r="E21" s="29">
        <v>313.7</v>
      </c>
      <c r="F21" s="30">
        <f>AVERAGE(18.87719337,18.25581152)</f>
        <v>18.566502445000001</v>
      </c>
      <c r="G21" s="31">
        <f>STDEV(18.87719337,18.25581152)</f>
        <v>0.43938331984124124</v>
      </c>
      <c r="H21" s="30">
        <v>0.21718293966666666</v>
      </c>
      <c r="I21" s="31">
        <v>1.9864668477533452E-2</v>
      </c>
      <c r="J21" s="30">
        <v>12.642857142857142</v>
      </c>
      <c r="K21" s="31">
        <v>2.2677868380553647</v>
      </c>
      <c r="L21" s="30">
        <v>-0.08</v>
      </c>
      <c r="M21" s="31">
        <v>1.238222601245587</v>
      </c>
      <c r="N21" s="30" t="s">
        <v>24</v>
      </c>
      <c r="O21" s="32" t="s">
        <v>24</v>
      </c>
      <c r="P21" s="31" t="s">
        <v>24</v>
      </c>
      <c r="Q21" s="33" t="s">
        <v>257</v>
      </c>
    </row>
    <row r="22" spans="1:17" x14ac:dyDescent="0.25">
      <c r="A22" s="13">
        <v>17</v>
      </c>
      <c r="B22" s="22" t="s">
        <v>22</v>
      </c>
      <c r="C22" s="15" t="s">
        <v>23</v>
      </c>
      <c r="D22" s="16">
        <v>5.4</v>
      </c>
      <c r="E22" s="17">
        <v>316.7</v>
      </c>
      <c r="F22" s="18">
        <f>AVERAGE(73.84514585,73.75611299)</f>
        <v>73.800629420000007</v>
      </c>
      <c r="G22" s="19">
        <f>STDEV(73.84514585,73.75611299)</f>
        <v>6.2955739054424739E-2</v>
      </c>
      <c r="H22" s="18">
        <v>0.19872905690909093</v>
      </c>
      <c r="I22" s="19">
        <v>4.3227301515903767E-2</v>
      </c>
      <c r="J22" s="18">
        <v>11.8</v>
      </c>
      <c r="K22" s="19">
        <v>4.7775516742365003</v>
      </c>
      <c r="L22" s="18">
        <v>-0.12</v>
      </c>
      <c r="M22" s="19">
        <v>1.1928578057292223</v>
      </c>
      <c r="N22" s="18" t="s">
        <v>24</v>
      </c>
      <c r="O22" s="20" t="s">
        <v>24</v>
      </c>
      <c r="P22" s="19" t="s">
        <v>24</v>
      </c>
      <c r="Q22" s="73" t="s">
        <v>44</v>
      </c>
    </row>
    <row r="23" spans="1:17" ht="30" x14ac:dyDescent="0.25">
      <c r="A23" s="25">
        <v>18</v>
      </c>
      <c r="B23" s="34" t="s">
        <v>22</v>
      </c>
      <c r="C23" s="27" t="s">
        <v>23</v>
      </c>
      <c r="D23" s="28">
        <v>6.1</v>
      </c>
      <c r="E23" s="29">
        <v>293.10000000000002</v>
      </c>
      <c r="F23" s="30">
        <f>AVERAGE(23.76779466,24.07964915)</f>
        <v>23.923721905000001</v>
      </c>
      <c r="G23" s="31">
        <f>STDEV(23.76779466,24.07964915)</f>
        <v>0.22051442462247361</v>
      </c>
      <c r="H23" s="30">
        <v>0.57036449466666672</v>
      </c>
      <c r="I23" s="31">
        <v>3.7508463293075597E-2</v>
      </c>
      <c r="J23" s="30">
        <v>130.16666666666666</v>
      </c>
      <c r="K23" s="31">
        <v>46.212372080789493</v>
      </c>
      <c r="L23" s="30">
        <v>-1.2</v>
      </c>
      <c r="M23" s="31">
        <v>1.1725706289015643</v>
      </c>
      <c r="N23" s="30" t="s">
        <v>24</v>
      </c>
      <c r="O23" s="32" t="s">
        <v>24</v>
      </c>
      <c r="P23" s="31" t="s">
        <v>24</v>
      </c>
      <c r="Q23" s="33" t="s">
        <v>45</v>
      </c>
    </row>
    <row r="24" spans="1:17" x14ac:dyDescent="0.25">
      <c r="A24" s="13">
        <v>19</v>
      </c>
      <c r="B24" s="22" t="s">
        <v>22</v>
      </c>
      <c r="C24" s="15" t="s">
        <v>23</v>
      </c>
      <c r="D24" s="16">
        <v>6.6</v>
      </c>
      <c r="E24" s="17">
        <v>308</v>
      </c>
      <c r="F24" s="18">
        <f>AVERAGE(30.11208342,31.09917031)</f>
        <v>30.605626865000001</v>
      </c>
      <c r="G24" s="19">
        <f>STDEV(30.11208342,31.09917031)</f>
        <v>0.69797583353934001</v>
      </c>
      <c r="H24" s="18">
        <v>0.29292269455555553</v>
      </c>
      <c r="I24" s="19">
        <v>7.2308783423569181E-2</v>
      </c>
      <c r="J24" s="18">
        <v>17.714285714285715</v>
      </c>
      <c r="K24" s="19">
        <v>5.6778600932125176</v>
      </c>
      <c r="L24" s="18">
        <v>-0.08</v>
      </c>
      <c r="M24" s="19">
        <v>1.119486842548514</v>
      </c>
      <c r="N24" s="18" t="s">
        <v>24</v>
      </c>
      <c r="O24" s="20" t="s">
        <v>24</v>
      </c>
      <c r="P24" s="19" t="s">
        <v>24</v>
      </c>
      <c r="Q24" s="24" t="s">
        <v>46</v>
      </c>
    </row>
    <row r="25" spans="1:17" ht="30" x14ac:dyDescent="0.25">
      <c r="A25" s="25">
        <v>20</v>
      </c>
      <c r="B25" s="26" t="s">
        <v>22</v>
      </c>
      <c r="C25" s="27" t="s">
        <v>23</v>
      </c>
      <c r="D25" s="28">
        <v>7.7</v>
      </c>
      <c r="E25" s="29">
        <v>309.3</v>
      </c>
      <c r="F25" s="30">
        <f>AVERAGE(34.14575062,32.10305553)</f>
        <v>33.124403075000004</v>
      </c>
      <c r="G25" s="31">
        <f>STDEV(34.14575062,32.10305553)</f>
        <v>1.4444035500354666</v>
      </c>
      <c r="H25" s="30">
        <v>1.0252337356666665</v>
      </c>
      <c r="I25" s="31">
        <v>0.26687281948698094</v>
      </c>
      <c r="J25" s="30">
        <v>50.45</v>
      </c>
      <c r="K25" s="31">
        <v>14.238933324593598</v>
      </c>
      <c r="L25" s="30">
        <v>-0.19</v>
      </c>
      <c r="M25" s="31">
        <v>1.412815017389166</v>
      </c>
      <c r="N25" s="30" t="s">
        <v>24</v>
      </c>
      <c r="O25" s="32" t="s">
        <v>24</v>
      </c>
      <c r="P25" s="31" t="s">
        <v>24</v>
      </c>
      <c r="Q25" s="33" t="s">
        <v>47</v>
      </c>
    </row>
    <row r="26" spans="1:17" ht="30" x14ac:dyDescent="0.25">
      <c r="A26" s="13">
        <v>21</v>
      </c>
      <c r="B26" s="22" t="s">
        <v>22</v>
      </c>
      <c r="C26" s="15" t="s">
        <v>23</v>
      </c>
      <c r="D26" s="16">
        <v>8</v>
      </c>
      <c r="E26" s="17">
        <v>305.8</v>
      </c>
      <c r="F26" s="18">
        <f>AVERAGE(37.39506628,40.57447229)</f>
        <v>38.984769284999999</v>
      </c>
      <c r="G26" s="19">
        <f>STDEV(37.39506628,40.57447229)</f>
        <v>2.2481795498162644</v>
      </c>
      <c r="H26" s="18">
        <v>0.40793458411111111</v>
      </c>
      <c r="I26" s="19">
        <v>0.10147661293534828</v>
      </c>
      <c r="J26" s="18">
        <v>27.522727272727273</v>
      </c>
      <c r="K26" s="19">
        <v>11.878791260822029</v>
      </c>
      <c r="L26" s="18">
        <v>-0.08</v>
      </c>
      <c r="M26" s="19">
        <v>1.332276894042886</v>
      </c>
      <c r="N26" s="18" t="s">
        <v>24</v>
      </c>
      <c r="O26" s="20" t="s">
        <v>24</v>
      </c>
      <c r="P26" s="19" t="s">
        <v>24</v>
      </c>
      <c r="Q26" s="24" t="s">
        <v>48</v>
      </c>
    </row>
    <row r="27" spans="1:17" x14ac:dyDescent="0.25">
      <c r="A27" s="25">
        <v>22</v>
      </c>
      <c r="B27" s="26" t="s">
        <v>22</v>
      </c>
      <c r="C27" s="27" t="s">
        <v>23</v>
      </c>
      <c r="D27" s="28">
        <v>8.5</v>
      </c>
      <c r="E27" s="29">
        <v>311.8</v>
      </c>
      <c r="F27" s="30">
        <f>AVERAGE(23.14442971,22.99347918)</f>
        <v>23.068954445000003</v>
      </c>
      <c r="G27" s="31">
        <f>STDEV(23.14442971,22.99347918)</f>
        <v>0.10673814338670293</v>
      </c>
      <c r="H27" s="30">
        <v>0.25436612379166662</v>
      </c>
      <c r="I27" s="31">
        <v>4.9465591930683957E-2</v>
      </c>
      <c r="J27" s="30">
        <v>13</v>
      </c>
      <c r="K27" s="31">
        <v>3.984344362627307</v>
      </c>
      <c r="L27" s="30">
        <v>-0.15</v>
      </c>
      <c r="M27" s="31">
        <v>1.1604380274418244</v>
      </c>
      <c r="N27" s="30" t="s">
        <v>24</v>
      </c>
      <c r="O27" s="32" t="s">
        <v>24</v>
      </c>
      <c r="P27" s="31" t="s">
        <v>24</v>
      </c>
      <c r="Q27" s="33" t="s">
        <v>49</v>
      </c>
    </row>
    <row r="28" spans="1:17" x14ac:dyDescent="0.25">
      <c r="A28" s="13">
        <v>23</v>
      </c>
      <c r="B28" s="22" t="s">
        <v>22</v>
      </c>
      <c r="C28" s="15" t="s">
        <v>23</v>
      </c>
      <c r="D28" s="16">
        <v>8.6999999999999993</v>
      </c>
      <c r="E28" s="17">
        <v>311.3</v>
      </c>
      <c r="F28" s="18">
        <f>AVERAGE(295.9557676,289.6754947)</f>
        <v>292.81563115</v>
      </c>
      <c r="G28" s="19">
        <f>STDEV(295.9557676,289.6754947)</f>
        <v>4.4408235552921047</v>
      </c>
      <c r="H28" s="18">
        <v>0.30319085909090909</v>
      </c>
      <c r="I28" s="19">
        <v>0.12373461340347568</v>
      </c>
      <c r="J28" s="18">
        <v>29.34375</v>
      </c>
      <c r="K28" s="19">
        <v>16.014567502202759</v>
      </c>
      <c r="L28" s="18">
        <v>-0.05</v>
      </c>
      <c r="M28" s="19">
        <v>1.213453998313355</v>
      </c>
      <c r="N28" s="18">
        <v>13.0930038</v>
      </c>
      <c r="O28" s="20">
        <v>372.75</v>
      </c>
      <c r="P28" s="19">
        <f>N28*(O28/1000)</f>
        <v>4.88041716645</v>
      </c>
      <c r="Q28" s="24" t="s">
        <v>50</v>
      </c>
    </row>
    <row r="29" spans="1:17" ht="45" x14ac:dyDescent="0.25">
      <c r="A29" s="25">
        <v>24</v>
      </c>
      <c r="B29" s="26" t="s">
        <v>22</v>
      </c>
      <c r="C29" s="27" t="s">
        <v>51</v>
      </c>
      <c r="D29" s="28">
        <v>8.6999999999999993</v>
      </c>
      <c r="E29" s="29">
        <v>311.3</v>
      </c>
      <c r="F29" s="30">
        <f>AVERAGE(80.25714402,72.53582857)</f>
        <v>76.396486295000003</v>
      </c>
      <c r="G29" s="31">
        <f>STDEV(80.25714402,72.53582857)</f>
        <v>5.4597945143754529</v>
      </c>
      <c r="H29" s="30">
        <v>0.2591991557777778</v>
      </c>
      <c r="I29" s="31">
        <v>0.1277297481397438</v>
      </c>
      <c r="J29" s="30">
        <v>15.9</v>
      </c>
      <c r="K29" s="31">
        <v>9.246020164854114</v>
      </c>
      <c r="L29" s="30">
        <v>-0.05</v>
      </c>
      <c r="M29" s="31">
        <v>1.7255133369501214</v>
      </c>
      <c r="N29" s="30">
        <v>13.0930038</v>
      </c>
      <c r="O29" s="32">
        <v>372.75</v>
      </c>
      <c r="P29" s="31">
        <f>N29*(O29/1000)</f>
        <v>4.88041716645</v>
      </c>
      <c r="Q29" s="33" t="s">
        <v>52</v>
      </c>
    </row>
    <row r="30" spans="1:17" ht="45" customHeight="1" x14ac:dyDescent="0.25">
      <c r="A30" s="13">
        <v>25</v>
      </c>
      <c r="B30" s="22" t="s">
        <v>22</v>
      </c>
      <c r="C30" s="15" t="s">
        <v>23</v>
      </c>
      <c r="D30" s="16">
        <v>9.4</v>
      </c>
      <c r="E30" s="17">
        <v>300.7</v>
      </c>
      <c r="F30" s="18">
        <f>AVERAGE(44.97421388,47.04025467)</f>
        <v>46.007234275000002</v>
      </c>
      <c r="G30" s="19">
        <f>STDEV(44.97421388,47.04025467)</f>
        <v>1.4609114528170135</v>
      </c>
      <c r="H30" s="18">
        <v>0.35732867027272724</v>
      </c>
      <c r="I30" s="19">
        <v>4.8679849634349071E-2</v>
      </c>
      <c r="J30" s="18">
        <v>19.600000000000001</v>
      </c>
      <c r="K30" s="19">
        <v>3.4713109915419578</v>
      </c>
      <c r="L30" s="18">
        <v>-0.11</v>
      </c>
      <c r="M30" s="19">
        <v>1.1987648722297795</v>
      </c>
      <c r="N30" s="18" t="s">
        <v>24</v>
      </c>
      <c r="O30" s="20" t="s">
        <v>24</v>
      </c>
      <c r="P30" s="19" t="s">
        <v>24</v>
      </c>
      <c r="Q30" s="24" t="s">
        <v>265</v>
      </c>
    </row>
    <row r="31" spans="1:17" x14ac:dyDescent="0.25">
      <c r="A31" s="25">
        <v>26</v>
      </c>
      <c r="B31" s="26" t="s">
        <v>22</v>
      </c>
      <c r="C31" s="27" t="s">
        <v>23</v>
      </c>
      <c r="D31" s="28">
        <v>9.6</v>
      </c>
      <c r="E31" s="29">
        <v>326.8</v>
      </c>
      <c r="F31" s="30">
        <f>AVERAGE(21.79804026,24.20564503)</f>
        <v>23.001842645</v>
      </c>
      <c r="G31" s="31">
        <f>STDEV(21.79804026,24.20564503)</f>
        <v>1.7024336592840774</v>
      </c>
      <c r="H31" s="30">
        <v>0.40760406900000001</v>
      </c>
      <c r="I31" s="31">
        <v>6.4633129616446711E-2</v>
      </c>
      <c r="J31" s="30">
        <v>48.30952380952381</v>
      </c>
      <c r="K31" s="31">
        <v>8.5986571487590187</v>
      </c>
      <c r="L31" s="30">
        <v>-0.18</v>
      </c>
      <c r="M31" s="31">
        <v>1.2706900804302521</v>
      </c>
      <c r="N31" s="30" t="s">
        <v>24</v>
      </c>
      <c r="O31" s="32" t="s">
        <v>24</v>
      </c>
      <c r="P31" s="31" t="s">
        <v>24</v>
      </c>
      <c r="Q31" s="33" t="s">
        <v>53</v>
      </c>
    </row>
    <row r="32" spans="1:17" ht="45" customHeight="1" x14ac:dyDescent="0.25">
      <c r="A32" s="13">
        <v>27</v>
      </c>
      <c r="B32" s="22" t="s">
        <v>22</v>
      </c>
      <c r="C32" s="15" t="s">
        <v>23</v>
      </c>
      <c r="D32" s="16">
        <v>10.5</v>
      </c>
      <c r="E32" s="17">
        <v>302.2</v>
      </c>
      <c r="F32" s="18">
        <f>AVERAGE(223.0299787,222.6608705)</f>
        <v>222.8454246</v>
      </c>
      <c r="G32" s="19">
        <f>STDEV(223.0299787,222.6608705)</f>
        <v>0.26099891121156005</v>
      </c>
      <c r="H32" s="18">
        <v>0.22379050144444446</v>
      </c>
      <c r="I32" s="19">
        <v>4.7705958692710486E-2</v>
      </c>
      <c r="J32" s="18">
        <v>15.305555555555555</v>
      </c>
      <c r="K32" s="19">
        <v>6.385748020222672</v>
      </c>
      <c r="L32" s="18">
        <v>-0.08</v>
      </c>
      <c r="M32" s="19">
        <v>1.1383282614366199</v>
      </c>
      <c r="N32" s="18">
        <v>1.5249760000000001</v>
      </c>
      <c r="O32" s="20" t="s">
        <v>54</v>
      </c>
      <c r="P32" s="19" t="s">
        <v>54</v>
      </c>
      <c r="Q32" s="24" t="s">
        <v>55</v>
      </c>
    </row>
    <row r="33" spans="1:17" x14ac:dyDescent="0.25">
      <c r="A33" s="25">
        <v>28</v>
      </c>
      <c r="B33" s="26" t="s">
        <v>22</v>
      </c>
      <c r="C33" s="27" t="s">
        <v>23</v>
      </c>
      <c r="D33" s="28">
        <v>11</v>
      </c>
      <c r="E33" s="29">
        <v>302.89999999999998</v>
      </c>
      <c r="F33" s="30">
        <f>AVERAGE(8.042646675,7.373340045)</f>
        <v>7.7079933599999997</v>
      </c>
      <c r="G33" s="31">
        <f>STDEV(8.042646675,7.373340045)</f>
        <v>0.47327125676611576</v>
      </c>
      <c r="H33" s="30">
        <v>0.50312222142857133</v>
      </c>
      <c r="I33" s="31">
        <v>0.12116531008829677</v>
      </c>
      <c r="J33" s="30">
        <v>52.5</v>
      </c>
      <c r="K33" s="31">
        <v>24.753787588973125</v>
      </c>
      <c r="L33" s="30">
        <v>-0.2</v>
      </c>
      <c r="M33" s="31">
        <v>1.1467054389603242</v>
      </c>
      <c r="N33" s="30" t="s">
        <v>24</v>
      </c>
      <c r="O33" s="32" t="s">
        <v>24</v>
      </c>
      <c r="P33" s="31" t="s">
        <v>24</v>
      </c>
      <c r="Q33" s="33" t="s">
        <v>56</v>
      </c>
    </row>
    <row r="34" spans="1:17" x14ac:dyDescent="0.25">
      <c r="A34" s="13">
        <v>29</v>
      </c>
      <c r="B34" s="22" t="s">
        <v>22</v>
      </c>
      <c r="C34" s="15" t="s">
        <v>57</v>
      </c>
      <c r="D34" s="16">
        <v>11.2</v>
      </c>
      <c r="E34" s="17">
        <v>302.8</v>
      </c>
      <c r="F34" s="18">
        <f>AVERAGE(233.9772679,222.2484727)</f>
        <v>228.1128703</v>
      </c>
      <c r="G34" s="19">
        <f>STDEV(233.9772679,222.2484727)</f>
        <v>8.293510621068215</v>
      </c>
      <c r="H34" s="18">
        <v>0.37306927845454541</v>
      </c>
      <c r="I34" s="19">
        <v>0.16250871532172101</v>
      </c>
      <c r="J34" s="18">
        <v>60.55</v>
      </c>
      <c r="K34" s="19">
        <v>32.217149731813727</v>
      </c>
      <c r="L34" s="18">
        <v>-0.08</v>
      </c>
      <c r="M34" s="19">
        <v>1.1660237328689935</v>
      </c>
      <c r="N34" s="18">
        <f>SUM(0.339257,0.402827)</f>
        <v>0.74208399999999997</v>
      </c>
      <c r="O34" s="20">
        <v>43</v>
      </c>
      <c r="P34" s="19">
        <f>N34*(O34/1000)</f>
        <v>3.1909611999999997E-2</v>
      </c>
      <c r="Q34" s="24" t="s">
        <v>58</v>
      </c>
    </row>
    <row r="35" spans="1:17" x14ac:dyDescent="0.25">
      <c r="A35" s="25">
        <v>29</v>
      </c>
      <c r="B35" s="26" t="s">
        <v>22</v>
      </c>
      <c r="C35" s="27" t="s">
        <v>59</v>
      </c>
      <c r="D35" s="28">
        <v>11.2</v>
      </c>
      <c r="E35" s="29">
        <v>302.8</v>
      </c>
      <c r="F35" s="30">
        <f>AVERAGE(219.5342705,228.8287012)</f>
        <v>224.18148585</v>
      </c>
      <c r="G35" s="31">
        <f>STDEV(219.5342705,228.8287012)</f>
        <v>6.5721549752384449</v>
      </c>
      <c r="H35" s="30">
        <v>0.37206563773333334</v>
      </c>
      <c r="I35" s="31">
        <v>0.17721953331604909</v>
      </c>
      <c r="J35" s="30">
        <v>60.55</v>
      </c>
      <c r="K35" s="31">
        <v>32.217149731813727</v>
      </c>
      <c r="L35" s="30">
        <v>-0.08</v>
      </c>
      <c r="M35" s="31">
        <v>1.1660237328689935</v>
      </c>
      <c r="N35" s="30">
        <f>SUM(0.339257,0.402827)</f>
        <v>0.74208399999999997</v>
      </c>
      <c r="O35" s="32">
        <v>43</v>
      </c>
      <c r="P35" s="31">
        <f>N35*(O35/1000)</f>
        <v>3.1909611999999997E-2</v>
      </c>
      <c r="Q35" s="33" t="s">
        <v>60</v>
      </c>
    </row>
    <row r="36" spans="1:17" x14ac:dyDescent="0.25">
      <c r="A36" s="13">
        <v>30</v>
      </c>
      <c r="B36" s="22" t="s">
        <v>22</v>
      </c>
      <c r="C36" s="15" t="s">
        <v>23</v>
      </c>
      <c r="D36" s="16">
        <v>11.3</v>
      </c>
      <c r="E36" s="17">
        <v>309.60000000000002</v>
      </c>
      <c r="F36" s="18">
        <f>AVERAGE(7.725242979,11.02260241)</f>
        <v>9.3739226944999992</v>
      </c>
      <c r="G36" s="19">
        <f>STDEV(7.725242979,11.02260241)</f>
        <v>2.3315852136695221</v>
      </c>
      <c r="H36" s="18">
        <v>1.6773568341999998</v>
      </c>
      <c r="I36" s="19">
        <v>0.11463731068512573</v>
      </c>
      <c r="J36" s="18">
        <v>278.5</v>
      </c>
      <c r="K36" s="19">
        <v>88.662280593271461</v>
      </c>
      <c r="L36" s="18">
        <v>-1.2</v>
      </c>
      <c r="M36" s="19">
        <v>1.1019286175080034</v>
      </c>
      <c r="N36" s="18">
        <v>23.342381</v>
      </c>
      <c r="O36" s="20">
        <v>498</v>
      </c>
      <c r="P36" s="19">
        <f>N36*(O36/1000)</f>
        <v>11.624505738</v>
      </c>
      <c r="Q36" s="24" t="s">
        <v>61</v>
      </c>
    </row>
    <row r="37" spans="1:17" ht="30" x14ac:dyDescent="0.25">
      <c r="A37" s="25">
        <v>31</v>
      </c>
      <c r="B37" s="26" t="s">
        <v>22</v>
      </c>
      <c r="C37" s="27" t="s">
        <v>51</v>
      </c>
      <c r="D37" s="28">
        <v>11.6</v>
      </c>
      <c r="E37" s="29">
        <v>306</v>
      </c>
      <c r="F37" s="30">
        <f>AVERAGE(24.05548116,24.00804598)</f>
        <v>24.031763569999999</v>
      </c>
      <c r="G37" s="31">
        <f>STDEV(24.05548116,24.00804598)</f>
        <v>3.3541737444805056E-2</v>
      </c>
      <c r="H37" s="30">
        <v>0.39614941228571432</v>
      </c>
      <c r="I37" s="31">
        <v>0.10159982853656763</v>
      </c>
      <c r="J37" s="30">
        <v>41.833333333333336</v>
      </c>
      <c r="K37" s="31">
        <v>7.2514366392690413</v>
      </c>
      <c r="L37" s="30">
        <v>-7.0000000000000007E-2</v>
      </c>
      <c r="M37" s="31">
        <v>1.1321622385755634</v>
      </c>
      <c r="N37" s="30" t="s">
        <v>24</v>
      </c>
      <c r="O37" s="32" t="s">
        <v>24</v>
      </c>
      <c r="P37" s="31" t="s">
        <v>24</v>
      </c>
      <c r="Q37" s="33" t="s">
        <v>62</v>
      </c>
    </row>
    <row r="38" spans="1:17" x14ac:dyDescent="0.25">
      <c r="A38" s="13">
        <v>32</v>
      </c>
      <c r="B38" s="22" t="s">
        <v>22</v>
      </c>
      <c r="C38" s="15" t="s">
        <v>23</v>
      </c>
      <c r="D38" s="16">
        <v>12</v>
      </c>
      <c r="E38" s="17">
        <v>310.10000000000002</v>
      </c>
      <c r="F38" s="18">
        <f>AVERAGE(8.767344651,9.329294058)</f>
        <v>9.0483193545000002</v>
      </c>
      <c r="G38" s="19">
        <f>STDEV(8.767344651,9.329294058)</f>
        <v>0.39735823637345924</v>
      </c>
      <c r="H38" s="18">
        <v>0.21044575499999998</v>
      </c>
      <c r="I38" s="19">
        <v>5.8799657494918244E-2</v>
      </c>
      <c r="J38" s="18">
        <v>19.291666666666668</v>
      </c>
      <c r="K38" s="19">
        <v>12.8007975011976</v>
      </c>
      <c r="L38" s="18">
        <v>-1.2</v>
      </c>
      <c r="M38" s="19">
        <v>1.1202121086600383</v>
      </c>
      <c r="N38" s="18" t="s">
        <v>24</v>
      </c>
      <c r="O38" s="20" t="s">
        <v>24</v>
      </c>
      <c r="P38" s="19" t="s">
        <v>24</v>
      </c>
      <c r="Q38" s="24" t="s">
        <v>259</v>
      </c>
    </row>
    <row r="39" spans="1:17" ht="45" customHeight="1" x14ac:dyDescent="0.25">
      <c r="A39" s="25">
        <v>33</v>
      </c>
      <c r="B39" s="26" t="s">
        <v>22</v>
      </c>
      <c r="C39" s="27" t="s">
        <v>23</v>
      </c>
      <c r="D39" s="28">
        <v>12.3</v>
      </c>
      <c r="E39" s="29">
        <v>311.5</v>
      </c>
      <c r="F39" s="30">
        <f>AVERAGE(57.62114891,56.20593925)</f>
        <v>56.913544080000001</v>
      </c>
      <c r="G39" s="31">
        <f>STDEV(57.62114891,56.20593925)</f>
        <v>1.0007043473867099</v>
      </c>
      <c r="H39" s="30">
        <v>0.47367485454545455</v>
      </c>
      <c r="I39" s="31">
        <v>9.4587533374267604E-2</v>
      </c>
      <c r="J39" s="30">
        <v>28.3</v>
      </c>
      <c r="K39" s="31">
        <v>23.557376763977775</v>
      </c>
      <c r="L39" s="30">
        <v>0.54</v>
      </c>
      <c r="M39" s="31">
        <v>1.2973004358040761</v>
      </c>
      <c r="N39" s="30" t="s">
        <v>24</v>
      </c>
      <c r="O39" s="32" t="s">
        <v>24</v>
      </c>
      <c r="P39" s="31" t="s">
        <v>24</v>
      </c>
      <c r="Q39" s="33" t="s">
        <v>264</v>
      </c>
    </row>
    <row r="40" spans="1:17" x14ac:dyDescent="0.25">
      <c r="A40" s="77" t="s">
        <v>1</v>
      </c>
      <c r="B40" s="79" t="s">
        <v>2</v>
      </c>
      <c r="C40" s="81" t="s">
        <v>3</v>
      </c>
      <c r="D40" s="77" t="s">
        <v>4</v>
      </c>
      <c r="E40" s="81" t="s">
        <v>5</v>
      </c>
      <c r="F40" s="5" t="s">
        <v>6</v>
      </c>
      <c r="G40" s="7" t="s">
        <v>7</v>
      </c>
      <c r="H40" s="5" t="s">
        <v>8</v>
      </c>
      <c r="I40" s="7" t="s">
        <v>9</v>
      </c>
      <c r="J40" s="5" t="s">
        <v>10</v>
      </c>
      <c r="K40" s="7" t="s">
        <v>9</v>
      </c>
      <c r="L40" s="5" t="s">
        <v>11</v>
      </c>
      <c r="M40" s="8" t="s">
        <v>12</v>
      </c>
      <c r="N40" s="5" t="s">
        <v>13</v>
      </c>
      <c r="O40" s="6" t="s">
        <v>14</v>
      </c>
      <c r="P40" s="7" t="s">
        <v>15</v>
      </c>
      <c r="Q40" s="75" t="s">
        <v>16</v>
      </c>
    </row>
    <row r="41" spans="1:17" ht="18" x14ac:dyDescent="0.25">
      <c r="A41" s="78"/>
      <c r="B41" s="80"/>
      <c r="C41" s="82"/>
      <c r="D41" s="78"/>
      <c r="E41" s="82"/>
      <c r="F41" s="9" t="s">
        <v>17</v>
      </c>
      <c r="G41" s="11" t="s">
        <v>17</v>
      </c>
      <c r="H41" s="9" t="s">
        <v>17</v>
      </c>
      <c r="I41" s="11" t="s">
        <v>17</v>
      </c>
      <c r="J41" s="9" t="s">
        <v>18</v>
      </c>
      <c r="K41" s="11" t="s">
        <v>18</v>
      </c>
      <c r="L41" s="9" t="s">
        <v>19</v>
      </c>
      <c r="M41" s="12"/>
      <c r="N41" s="9" t="s">
        <v>20</v>
      </c>
      <c r="O41" s="10" t="s">
        <v>18</v>
      </c>
      <c r="P41" s="11" t="s">
        <v>21</v>
      </c>
      <c r="Q41" s="76"/>
    </row>
    <row r="42" spans="1:17" x14ac:dyDescent="0.25">
      <c r="A42" s="13">
        <v>34</v>
      </c>
      <c r="B42" s="22" t="s">
        <v>22</v>
      </c>
      <c r="C42" s="15" t="s">
        <v>23</v>
      </c>
      <c r="D42" s="16">
        <v>12.4</v>
      </c>
      <c r="E42" s="17">
        <v>309.8</v>
      </c>
      <c r="F42" s="18">
        <v>15.096279567</v>
      </c>
      <c r="G42" s="19">
        <v>1.0225913189329832</v>
      </c>
      <c r="H42" s="18">
        <v>0.39467793569999998</v>
      </c>
      <c r="I42" s="19">
        <v>0.16181573675487945</v>
      </c>
      <c r="J42" s="18">
        <v>35.1</v>
      </c>
      <c r="K42" s="19">
        <v>25.902219982078755</v>
      </c>
      <c r="L42" s="18">
        <v>-0.78</v>
      </c>
      <c r="M42" s="19">
        <v>1.1753632311604654</v>
      </c>
      <c r="N42" s="18" t="s">
        <v>24</v>
      </c>
      <c r="O42" s="20" t="s">
        <v>24</v>
      </c>
      <c r="P42" s="19" t="s">
        <v>24</v>
      </c>
      <c r="Q42" s="24" t="s">
        <v>63</v>
      </c>
    </row>
    <row r="43" spans="1:17" x14ac:dyDescent="0.25">
      <c r="A43" s="25">
        <v>35</v>
      </c>
      <c r="B43" s="26" t="s">
        <v>22</v>
      </c>
      <c r="C43" s="27" t="s">
        <v>23</v>
      </c>
      <c r="D43" s="28">
        <v>12.5</v>
      </c>
      <c r="E43" s="29">
        <v>306.7</v>
      </c>
      <c r="F43" s="30">
        <f>AVERAGE(165.6221308,162.2510303)</f>
        <v>163.93658055</v>
      </c>
      <c r="G43" s="31">
        <f>STDEV(165.6221308,162.2510303)</f>
        <v>2.3837280236113689</v>
      </c>
      <c r="H43" s="30">
        <v>0.57309631549999995</v>
      </c>
      <c r="I43" s="31">
        <v>6.4089614590326305E-2</v>
      </c>
      <c r="J43" s="30">
        <v>21.392857142857142</v>
      </c>
      <c r="K43" s="31">
        <v>4.3728736329242102</v>
      </c>
      <c r="L43" s="30">
        <v>-0.32</v>
      </c>
      <c r="M43" s="31">
        <v>1.2279410433509315</v>
      </c>
      <c r="N43" s="30" t="s">
        <v>24</v>
      </c>
      <c r="O43" s="32" t="s">
        <v>24</v>
      </c>
      <c r="P43" s="31" t="s">
        <v>24</v>
      </c>
      <c r="Q43" s="33" t="s">
        <v>64</v>
      </c>
    </row>
    <row r="44" spans="1:17" ht="30" x14ac:dyDescent="0.25">
      <c r="A44" s="13">
        <v>36</v>
      </c>
      <c r="B44" s="22" t="s">
        <v>22</v>
      </c>
      <c r="C44" s="15" t="s">
        <v>51</v>
      </c>
      <c r="D44" s="16">
        <v>12.9</v>
      </c>
      <c r="E44" s="17">
        <v>302.39999999999998</v>
      </c>
      <c r="F44" s="18">
        <f>AVERAGE(28.97407278,28.39722046)</f>
        <v>28.68564662</v>
      </c>
      <c r="G44" s="19">
        <f>STDEV(28.97407278,28.39722046)</f>
        <v>0.40789618721519261</v>
      </c>
      <c r="H44" s="18">
        <v>0.26637318339999999</v>
      </c>
      <c r="I44" s="19">
        <v>5.3834289636865901E-2</v>
      </c>
      <c r="J44" s="18">
        <v>17.125</v>
      </c>
      <c r="K44" s="19">
        <v>7.3866433513470788</v>
      </c>
      <c r="L44" s="18">
        <v>-0.46</v>
      </c>
      <c r="M44" s="19">
        <v>1.1059689632739911</v>
      </c>
      <c r="N44" s="18" t="s">
        <v>24</v>
      </c>
      <c r="O44" s="20" t="s">
        <v>24</v>
      </c>
      <c r="P44" s="19" t="s">
        <v>24</v>
      </c>
      <c r="Q44" s="24" t="s">
        <v>65</v>
      </c>
    </row>
    <row r="45" spans="1:17" ht="30" x14ac:dyDescent="0.25">
      <c r="A45" s="25">
        <v>37</v>
      </c>
      <c r="B45" s="26" t="s">
        <v>22</v>
      </c>
      <c r="C45" s="27" t="s">
        <v>23</v>
      </c>
      <c r="D45" s="28">
        <v>13.3</v>
      </c>
      <c r="E45" s="29">
        <v>303.2</v>
      </c>
      <c r="F45" s="30">
        <f>AVERAGE(2.372505878,1.881404243)</f>
        <v>2.1269550605000003</v>
      </c>
      <c r="G45" s="31">
        <f>STDEV(2.372505878,1.881404243)</f>
        <v>0.34726129636029934</v>
      </c>
      <c r="H45" s="30">
        <v>0.73123346499999997</v>
      </c>
      <c r="I45" s="31">
        <v>6.824465736140127E-2</v>
      </c>
      <c r="J45" s="30">
        <v>135</v>
      </c>
      <c r="K45" s="31" t="s">
        <v>24</v>
      </c>
      <c r="L45" s="30">
        <v>-0.19</v>
      </c>
      <c r="M45" s="31">
        <v>1.0780247765167994</v>
      </c>
      <c r="N45" s="30">
        <v>2.8152979999999999</v>
      </c>
      <c r="O45" s="32">
        <v>147</v>
      </c>
      <c r="P45" s="31">
        <f>N45*(O45/1000)</f>
        <v>0.41384880599999996</v>
      </c>
      <c r="Q45" s="33" t="s">
        <v>66</v>
      </c>
    </row>
    <row r="46" spans="1:17" ht="30" x14ac:dyDescent="0.25">
      <c r="A46" s="13">
        <v>38</v>
      </c>
      <c r="B46" s="22" t="s">
        <v>22</v>
      </c>
      <c r="C46" s="15" t="s">
        <v>23</v>
      </c>
      <c r="D46" s="16">
        <v>13.6</v>
      </c>
      <c r="E46" s="17">
        <v>301.10000000000002</v>
      </c>
      <c r="F46" s="18">
        <f>AVERAGE(12.62292868,12.62803483)</f>
        <v>12.625481754999999</v>
      </c>
      <c r="G46" s="19">
        <f>STDEV(12.62292868,12.62803483)</f>
        <v>3.610593290756654E-3</v>
      </c>
      <c r="H46" s="18">
        <v>0.18935946714285715</v>
      </c>
      <c r="I46" s="19">
        <v>1.712985735581039E-2</v>
      </c>
      <c r="J46" s="18">
        <v>14.6</v>
      </c>
      <c r="K46" s="19">
        <v>3.5951356024495116</v>
      </c>
      <c r="L46" s="18">
        <v>-0.28000000000000003</v>
      </c>
      <c r="M46" s="19">
        <v>1.1089913568011098</v>
      </c>
      <c r="N46" s="18" t="s">
        <v>24</v>
      </c>
      <c r="O46" s="20" t="s">
        <v>24</v>
      </c>
      <c r="P46" s="19" t="s">
        <v>24</v>
      </c>
      <c r="Q46" s="24" t="s">
        <v>67</v>
      </c>
    </row>
    <row r="47" spans="1:17" ht="45" x14ac:dyDescent="0.25">
      <c r="A47" s="25">
        <v>39</v>
      </c>
      <c r="B47" s="26" t="s">
        <v>22</v>
      </c>
      <c r="C47" s="27" t="s">
        <v>51</v>
      </c>
      <c r="D47" s="28">
        <v>13.7</v>
      </c>
      <c r="E47" s="29">
        <v>302</v>
      </c>
      <c r="F47" s="30">
        <f>AVERAGE(2.468262267,2.692451866)</f>
        <v>2.5803570665</v>
      </c>
      <c r="G47" s="31">
        <f>STDEV(2.468262267,2.692451866)</f>
        <v>0.15852598572439269</v>
      </c>
      <c r="H47" s="30">
        <v>0.50892822933333326</v>
      </c>
      <c r="I47" s="31">
        <v>7.5859420444458606E-2</v>
      </c>
      <c r="J47" s="30">
        <v>101</v>
      </c>
      <c r="K47" s="31" t="s">
        <v>24</v>
      </c>
      <c r="L47" s="30">
        <v>-0.17</v>
      </c>
      <c r="M47" s="31">
        <v>1.0732407355999445</v>
      </c>
      <c r="N47" s="30">
        <v>0.83997299999999997</v>
      </c>
      <c r="O47" s="32">
        <v>164</v>
      </c>
      <c r="P47" s="31">
        <f t="shared" ref="P47:P52" si="0">N47*(O47/1000)</f>
        <v>0.13775557199999999</v>
      </c>
      <c r="Q47" s="33" t="s">
        <v>68</v>
      </c>
    </row>
    <row r="48" spans="1:17" ht="30" x14ac:dyDescent="0.25">
      <c r="A48" s="13">
        <v>40</v>
      </c>
      <c r="B48" s="22" t="s">
        <v>22</v>
      </c>
      <c r="C48" s="15" t="s">
        <v>23</v>
      </c>
      <c r="D48" s="16">
        <v>13.7</v>
      </c>
      <c r="E48" s="17">
        <v>304.10000000000002</v>
      </c>
      <c r="F48" s="18">
        <f>AVERAGE(54.57428841,56.93504639)</f>
        <v>55.754667400000002</v>
      </c>
      <c r="G48" s="19">
        <f>STDEV(54.57428841,56.93504639)</f>
        <v>1.6693079763982528</v>
      </c>
      <c r="H48" s="18">
        <v>0.90221107110000009</v>
      </c>
      <c r="I48" s="19">
        <v>0.18000368015273888</v>
      </c>
      <c r="J48" s="18">
        <v>114.55</v>
      </c>
      <c r="K48" s="19">
        <v>67.42751251858877</v>
      </c>
      <c r="L48" s="18">
        <v>-1.3</v>
      </c>
      <c r="M48" s="19">
        <v>1.1109822736385571</v>
      </c>
      <c r="N48" s="18">
        <v>5.5111359999999996</v>
      </c>
      <c r="O48" s="20">
        <v>307.16666666666669</v>
      </c>
      <c r="P48" s="19">
        <f t="shared" si="0"/>
        <v>1.6928372746666667</v>
      </c>
      <c r="Q48" s="24" t="s">
        <v>261</v>
      </c>
    </row>
    <row r="49" spans="1:17" ht="30" x14ac:dyDescent="0.25">
      <c r="A49" s="25">
        <v>41</v>
      </c>
      <c r="B49" s="26" t="s">
        <v>22</v>
      </c>
      <c r="C49" s="27" t="s">
        <v>23</v>
      </c>
      <c r="D49" s="28">
        <v>14</v>
      </c>
      <c r="E49" s="29">
        <v>310.7</v>
      </c>
      <c r="F49" s="30">
        <f>AVERAGE(15.01958565,15.83134905)</f>
        <v>15.42546735</v>
      </c>
      <c r="G49" s="31">
        <f>STDEV(15.01958565,15.83134905)</f>
        <v>0.57400340485904799</v>
      </c>
      <c r="H49" s="30">
        <v>0.898418905125</v>
      </c>
      <c r="I49" s="31">
        <v>0.14095497292752501</v>
      </c>
      <c r="J49" s="30">
        <v>99.083333333333329</v>
      </c>
      <c r="K49" s="31">
        <v>41.919466440624781</v>
      </c>
      <c r="L49" s="30">
        <v>-0.55000000000000004</v>
      </c>
      <c r="M49" s="31">
        <v>1.2495960372831578</v>
      </c>
      <c r="N49" s="30">
        <v>6.6252110000000002</v>
      </c>
      <c r="O49" s="32">
        <v>231</v>
      </c>
      <c r="P49" s="31">
        <f t="shared" si="0"/>
        <v>1.5304237410000001</v>
      </c>
      <c r="Q49" s="33" t="s">
        <v>260</v>
      </c>
    </row>
    <row r="50" spans="1:17" ht="30" x14ac:dyDescent="0.25">
      <c r="A50" s="13">
        <v>42</v>
      </c>
      <c r="B50" s="22" t="s">
        <v>22</v>
      </c>
      <c r="C50" s="15" t="s">
        <v>23</v>
      </c>
      <c r="D50" s="16">
        <v>14.1</v>
      </c>
      <c r="E50" s="17">
        <v>309.3</v>
      </c>
      <c r="F50" s="18">
        <f>AVERAGE(52.00934444,51.91994856)</f>
        <v>51.964646500000001</v>
      </c>
      <c r="G50" s="19">
        <f>STDEV(52.00934444,51.91994856)</f>
        <v>6.321243295813736E-2</v>
      </c>
      <c r="H50" s="18">
        <v>1.0584639775555553</v>
      </c>
      <c r="I50" s="19">
        <v>0.23057518007888983</v>
      </c>
      <c r="J50" s="18">
        <v>33.6875</v>
      </c>
      <c r="K50" s="19">
        <v>16.192894164681356</v>
      </c>
      <c r="L50" s="18">
        <v>-0.11</v>
      </c>
      <c r="M50" s="19">
        <v>1.2676816043706027</v>
      </c>
      <c r="N50" s="18">
        <v>13.038625</v>
      </c>
      <c r="O50" s="20">
        <v>237</v>
      </c>
      <c r="P50" s="19">
        <f t="shared" si="0"/>
        <v>3.0901541249999998</v>
      </c>
      <c r="Q50" s="24" t="s">
        <v>69</v>
      </c>
    </row>
    <row r="51" spans="1:17" x14ac:dyDescent="0.25">
      <c r="A51" s="25">
        <v>43</v>
      </c>
      <c r="B51" s="26" t="s">
        <v>22</v>
      </c>
      <c r="C51" s="27" t="s">
        <v>23</v>
      </c>
      <c r="D51" s="28">
        <v>14.2</v>
      </c>
      <c r="E51" s="29">
        <v>304</v>
      </c>
      <c r="F51" s="30">
        <f>AVERAGE(37.95084789,37.27721162)</f>
        <v>37.614029755000004</v>
      </c>
      <c r="G51" s="31">
        <f>STDEV(37.95084789,37.27721162)</f>
        <v>0.47633277457020912</v>
      </c>
      <c r="H51" s="30">
        <v>0.41755443799999997</v>
      </c>
      <c r="I51" s="31">
        <v>0.15057669164478524</v>
      </c>
      <c r="J51" s="30">
        <v>60.75</v>
      </c>
      <c r="K51" s="31">
        <v>24.231694121542553</v>
      </c>
      <c r="L51" s="30">
        <v>-0.46</v>
      </c>
      <c r="M51" s="31">
        <v>1.1038840969395303</v>
      </c>
      <c r="N51" s="30">
        <v>4.2446089999999996</v>
      </c>
      <c r="O51" s="32">
        <v>138.66666666666666</v>
      </c>
      <c r="P51" s="31">
        <f t="shared" si="0"/>
        <v>0.58858578133333328</v>
      </c>
      <c r="Q51" s="33" t="s">
        <v>70</v>
      </c>
    </row>
    <row r="52" spans="1:17" x14ac:dyDescent="0.25">
      <c r="A52" s="13">
        <v>44</v>
      </c>
      <c r="B52" s="22" t="s">
        <v>22</v>
      </c>
      <c r="C52" s="15" t="s">
        <v>23</v>
      </c>
      <c r="D52" s="16">
        <v>14.4</v>
      </c>
      <c r="E52" s="17">
        <v>309.89999999999998</v>
      </c>
      <c r="F52" s="18">
        <f>AVERAGE(4.364095575,4.119948616)</f>
        <v>4.2420220955000003</v>
      </c>
      <c r="G52" s="19">
        <f>STDEV(4.364095575,4.119948616)</f>
        <v>0.17263797031497402</v>
      </c>
      <c r="H52" s="18">
        <v>0.30735574737499999</v>
      </c>
      <c r="I52" s="19">
        <v>6.5569023475844132E-2</v>
      </c>
      <c r="J52" s="18">
        <v>53.166666666666664</v>
      </c>
      <c r="K52" s="19">
        <v>23.271943050233968</v>
      </c>
      <c r="L52" s="18">
        <v>-0.11</v>
      </c>
      <c r="M52" s="19">
        <v>1.381674662066239</v>
      </c>
      <c r="N52" s="18">
        <v>0.74716400000000005</v>
      </c>
      <c r="O52" s="20">
        <v>72</v>
      </c>
      <c r="P52" s="19">
        <f t="shared" si="0"/>
        <v>5.3795808000000001E-2</v>
      </c>
      <c r="Q52" s="24" t="s">
        <v>71</v>
      </c>
    </row>
    <row r="53" spans="1:17" ht="30" x14ac:dyDescent="0.25">
      <c r="A53" s="25">
        <v>45</v>
      </c>
      <c r="B53" s="26" t="s">
        <v>22</v>
      </c>
      <c r="C53" s="27" t="s">
        <v>23</v>
      </c>
      <c r="D53" s="28">
        <v>14.6</v>
      </c>
      <c r="E53" s="29">
        <v>311.39999999999998</v>
      </c>
      <c r="F53" s="30">
        <f>AVERAGE(310.2493783,313.9477315)</f>
        <v>312.09855489999995</v>
      </c>
      <c r="G53" s="31">
        <f>STDEV(310.2493783,313.9477315)</f>
        <v>2.6151306269429577</v>
      </c>
      <c r="H53" s="30">
        <v>0.62664312721739124</v>
      </c>
      <c r="I53" s="31">
        <v>0.20501335784924701</v>
      </c>
      <c r="J53" s="30">
        <v>106.55555555555556</v>
      </c>
      <c r="K53" s="31">
        <v>52.989174027366808</v>
      </c>
      <c r="L53" s="30">
        <v>-0.14000000000000001</v>
      </c>
      <c r="M53" s="31">
        <v>1.200224428701544</v>
      </c>
      <c r="N53" s="30" t="s">
        <v>24</v>
      </c>
      <c r="O53" s="32" t="s">
        <v>24</v>
      </c>
      <c r="P53" s="31" t="s">
        <v>24</v>
      </c>
      <c r="Q53" s="33" t="s">
        <v>72</v>
      </c>
    </row>
    <row r="54" spans="1:17" ht="45" x14ac:dyDescent="0.25">
      <c r="A54" s="13">
        <v>46</v>
      </c>
      <c r="B54" s="22" t="s">
        <v>22</v>
      </c>
      <c r="C54" s="15" t="s">
        <v>23</v>
      </c>
      <c r="D54" s="16">
        <v>18.5</v>
      </c>
      <c r="E54" s="17">
        <v>312.8</v>
      </c>
      <c r="F54" s="18">
        <f>AVERAGE(262.8811854,257.8750535)</f>
        <v>260.37811944999999</v>
      </c>
      <c r="G54" s="19">
        <f>STDEV(262.8811854,257.8750535)</f>
        <v>3.5398698140043052</v>
      </c>
      <c r="H54" s="18">
        <v>0.43513631384615387</v>
      </c>
      <c r="I54" s="19">
        <v>0.10671193332192809</v>
      </c>
      <c r="J54" s="18">
        <v>27.557575757575762</v>
      </c>
      <c r="K54" s="19">
        <v>9.7493999912504226</v>
      </c>
      <c r="L54" s="18">
        <v>-0.1</v>
      </c>
      <c r="M54" s="19">
        <v>1.3984919143042436</v>
      </c>
      <c r="N54" s="18">
        <v>1.0887199999999999</v>
      </c>
      <c r="O54" s="20" t="s">
        <v>54</v>
      </c>
      <c r="P54" s="19" t="s">
        <v>54</v>
      </c>
      <c r="Q54" s="24" t="s">
        <v>73</v>
      </c>
    </row>
    <row r="55" spans="1:17" x14ac:dyDescent="0.25">
      <c r="A55" s="25">
        <v>47</v>
      </c>
      <c r="B55" s="26" t="s">
        <v>22</v>
      </c>
      <c r="C55" s="27" t="s">
        <v>23</v>
      </c>
      <c r="D55" s="28">
        <v>20.3</v>
      </c>
      <c r="E55" s="29">
        <v>310.7</v>
      </c>
      <c r="F55" s="30">
        <f>AVERAGE(55.18490773,54.16335519)</f>
        <v>54.674131459999998</v>
      </c>
      <c r="G55" s="31">
        <f>STDEV(55.18490773,54.16335519)</f>
        <v>0.72234672837234315</v>
      </c>
      <c r="H55" s="30">
        <v>0.18296968300000002</v>
      </c>
      <c r="I55" s="31">
        <v>2.8803607560157794E-2</v>
      </c>
      <c r="J55" s="30">
        <v>9.6000000000000032</v>
      </c>
      <c r="K55" s="31">
        <v>2.9771096416124494</v>
      </c>
      <c r="L55" s="30">
        <v>-0.1</v>
      </c>
      <c r="M55" s="31">
        <v>1.1592694737366285</v>
      </c>
      <c r="N55" s="30" t="s">
        <v>24</v>
      </c>
      <c r="O55" s="32" t="s">
        <v>24</v>
      </c>
      <c r="P55" s="31" t="s">
        <v>24</v>
      </c>
      <c r="Q55" s="33" t="s">
        <v>74</v>
      </c>
    </row>
    <row r="56" spans="1:17" x14ac:dyDescent="0.25">
      <c r="A56" s="13">
        <v>48</v>
      </c>
      <c r="B56" s="14" t="s">
        <v>22</v>
      </c>
      <c r="C56" s="15" t="s">
        <v>23</v>
      </c>
      <c r="D56" s="16">
        <v>20.399999999999999</v>
      </c>
      <c r="E56" s="17">
        <v>285.5</v>
      </c>
      <c r="F56" s="18">
        <f>AVERAGE(26.4829197,27.91508417)</f>
        <v>27.199001934999998</v>
      </c>
      <c r="G56" s="19">
        <f>STDEV(26.4829197,27.91508417)</f>
        <v>1.012693208511438</v>
      </c>
      <c r="H56" s="18">
        <v>0.72029193400000002</v>
      </c>
      <c r="I56" s="19">
        <v>8.7076006906753892E-2</v>
      </c>
      <c r="J56" s="18">
        <v>123.42857142857143</v>
      </c>
      <c r="K56" s="19">
        <v>40.208237725028212</v>
      </c>
      <c r="L56" s="18">
        <v>-0.7</v>
      </c>
      <c r="M56" s="19">
        <v>1.3475478010914574</v>
      </c>
      <c r="N56" s="18">
        <v>1.8115950000000001</v>
      </c>
      <c r="O56" s="20" t="s">
        <v>54</v>
      </c>
      <c r="P56" s="19" t="s">
        <v>54</v>
      </c>
      <c r="Q56" s="24" t="s">
        <v>75</v>
      </c>
    </row>
    <row r="57" spans="1:17" x14ac:dyDescent="0.25">
      <c r="A57" s="25">
        <v>49</v>
      </c>
      <c r="B57" s="26" t="s">
        <v>22</v>
      </c>
      <c r="C57" s="27" t="s">
        <v>23</v>
      </c>
      <c r="D57" s="28">
        <v>22.4</v>
      </c>
      <c r="E57" s="29">
        <v>314.89999999999998</v>
      </c>
      <c r="F57" s="30">
        <f>AVERAGE(75.20198814,74.04975376)</f>
        <v>74.625870950000007</v>
      </c>
      <c r="G57" s="31">
        <f>STDEV(75.20198814,74.04975376)</f>
        <v>0.81475274361427441</v>
      </c>
      <c r="H57" s="30">
        <v>0.64691088730769231</v>
      </c>
      <c r="I57" s="31">
        <v>0.10681519592277469</v>
      </c>
      <c r="J57" s="30">
        <v>26.666666666666668</v>
      </c>
      <c r="K57" s="31">
        <v>16.551057368035433</v>
      </c>
      <c r="L57" s="30">
        <v>-0.04</v>
      </c>
      <c r="M57" s="31">
        <v>1.3285873477856533</v>
      </c>
      <c r="N57" s="30" t="s">
        <v>24</v>
      </c>
      <c r="O57" s="32" t="s">
        <v>24</v>
      </c>
      <c r="P57" s="31" t="s">
        <v>24</v>
      </c>
      <c r="Q57" s="33" t="s">
        <v>76</v>
      </c>
    </row>
    <row r="58" spans="1:17" x14ac:dyDescent="0.25">
      <c r="A58" s="13">
        <v>50</v>
      </c>
      <c r="B58" s="22" t="s">
        <v>22</v>
      </c>
      <c r="C58" s="15" t="s">
        <v>23</v>
      </c>
      <c r="D58" s="16">
        <v>23.5</v>
      </c>
      <c r="E58" s="17">
        <v>307.39999999999998</v>
      </c>
      <c r="F58" s="18">
        <f>AVERAGE(8.406190364,8.099526611)</f>
        <v>8.2528584874999993</v>
      </c>
      <c r="G58" s="19">
        <f>STDEV(8.406190364,8.099526611)</f>
        <v>0.2168440192904168</v>
      </c>
      <c r="H58" s="18">
        <v>0.45419057719999989</v>
      </c>
      <c r="I58" s="19">
        <v>9.3239196804619617E-2</v>
      </c>
      <c r="J58" s="18">
        <v>53</v>
      </c>
      <c r="K58" s="19">
        <v>29.461839725312469</v>
      </c>
      <c r="L58" s="18">
        <v>-0.71</v>
      </c>
      <c r="M58" s="19">
        <v>1.2165843003440782</v>
      </c>
      <c r="N58" s="18" t="s">
        <v>24</v>
      </c>
      <c r="O58" s="20" t="s">
        <v>24</v>
      </c>
      <c r="P58" s="19" t="s">
        <v>24</v>
      </c>
      <c r="Q58" s="24" t="s">
        <v>77</v>
      </c>
    </row>
    <row r="59" spans="1:17" x14ac:dyDescent="0.25">
      <c r="A59" s="25">
        <v>51</v>
      </c>
      <c r="B59" s="26" t="s">
        <v>22</v>
      </c>
      <c r="C59" s="27" t="s">
        <v>23</v>
      </c>
      <c r="D59" s="28">
        <v>23.8</v>
      </c>
      <c r="E59" s="29">
        <v>307.10000000000002</v>
      </c>
      <c r="F59" s="30">
        <f>AVERAGE(11.90291247,10.87998636)</f>
        <v>11.391449415</v>
      </c>
      <c r="G59" s="31">
        <f>STDEV(11.90291247,10.87998636)</f>
        <v>0.72331798903377642</v>
      </c>
      <c r="H59" s="30">
        <v>0.38470747981818182</v>
      </c>
      <c r="I59" s="31">
        <v>7.3820965914710296E-2</v>
      </c>
      <c r="J59" s="30">
        <v>29.5</v>
      </c>
      <c r="K59" s="31">
        <v>4.7696960070847281</v>
      </c>
      <c r="L59" s="30">
        <v>-0.04</v>
      </c>
      <c r="M59" s="31">
        <v>1.1766699575505968</v>
      </c>
      <c r="N59" s="30" t="s">
        <v>24</v>
      </c>
      <c r="O59" s="32" t="s">
        <v>24</v>
      </c>
      <c r="P59" s="31" t="s">
        <v>24</v>
      </c>
      <c r="Q59" s="33" t="s">
        <v>78</v>
      </c>
    </row>
    <row r="60" spans="1:17" x14ac:dyDescent="0.25">
      <c r="A60" s="13">
        <v>52</v>
      </c>
      <c r="B60" s="22" t="s">
        <v>22</v>
      </c>
      <c r="C60" s="15" t="s">
        <v>23</v>
      </c>
      <c r="D60" s="16">
        <v>24</v>
      </c>
      <c r="E60" s="17">
        <v>309.2</v>
      </c>
      <c r="F60" s="18">
        <f>AVERAGE(34.86924889,38.82223567)</f>
        <v>36.845742279999996</v>
      </c>
      <c r="G60" s="19">
        <f>STDEV(34.86924889,38.82223567)</f>
        <v>2.7951837580787724</v>
      </c>
      <c r="H60" s="18">
        <v>0.5187494561249999</v>
      </c>
      <c r="I60" s="19">
        <v>0.15297353290094373</v>
      </c>
      <c r="J60" s="18">
        <v>56.333333333333336</v>
      </c>
      <c r="K60" s="19">
        <v>28.72426384319245</v>
      </c>
      <c r="L60" s="18">
        <v>-0.55000000000000004</v>
      </c>
      <c r="M60" s="19">
        <v>1.3303427075929943</v>
      </c>
      <c r="N60" s="18">
        <v>2.644803</v>
      </c>
      <c r="O60" s="20">
        <v>118</v>
      </c>
      <c r="P60" s="19">
        <f>N60*(O60/1000)</f>
        <v>0.31208675399999997</v>
      </c>
      <c r="Q60" s="24" t="s">
        <v>79</v>
      </c>
    </row>
    <row r="61" spans="1:17" x14ac:dyDescent="0.25">
      <c r="A61" s="25">
        <v>53</v>
      </c>
      <c r="B61" s="26" t="s">
        <v>22</v>
      </c>
      <c r="C61" s="27" t="s">
        <v>80</v>
      </c>
      <c r="D61" s="28">
        <v>24.1</v>
      </c>
      <c r="E61" s="29">
        <v>305.8</v>
      </c>
      <c r="F61" s="30">
        <f>AVERAGE(17.62162352,18.3656768)</f>
        <v>17.993650160000001</v>
      </c>
      <c r="G61" s="31">
        <f>STDEV(17.62162352,18.3656768)</f>
        <v>0.52612511985209243</v>
      </c>
      <c r="H61" s="30">
        <v>0.74550398216666658</v>
      </c>
      <c r="I61" s="31">
        <v>8.0502103752587109E-2</v>
      </c>
      <c r="J61" s="30">
        <v>74</v>
      </c>
      <c r="K61" s="31">
        <v>23.815261213488014</v>
      </c>
      <c r="L61" s="30">
        <v>-0.56999999999999995</v>
      </c>
      <c r="M61" s="31">
        <v>1.1054450360229666</v>
      </c>
      <c r="N61" s="30">
        <v>1.155</v>
      </c>
      <c r="O61" s="32">
        <v>263</v>
      </c>
      <c r="P61" s="31">
        <f>N61*(O61/1000)</f>
        <v>0.30376500000000001</v>
      </c>
      <c r="Q61" s="33" t="s">
        <v>81</v>
      </c>
    </row>
    <row r="62" spans="1:17" x14ac:dyDescent="0.25">
      <c r="A62" s="13">
        <v>53</v>
      </c>
      <c r="B62" s="22" t="s">
        <v>22</v>
      </c>
      <c r="C62" s="15" t="s">
        <v>82</v>
      </c>
      <c r="D62" s="16">
        <v>24.1</v>
      </c>
      <c r="E62" s="17">
        <v>305.8</v>
      </c>
      <c r="F62" s="18">
        <f>AVERAGE(16.19002872,16.57919918)</f>
        <v>16.384613950000002</v>
      </c>
      <c r="G62" s="19">
        <f>STDEV(16.19002872,16.57919918)</f>
        <v>0.27518507130348735</v>
      </c>
      <c r="H62" s="18">
        <v>0.53308021274999995</v>
      </c>
      <c r="I62" s="19">
        <v>3.0878521700610402E-2</v>
      </c>
      <c r="J62" s="18">
        <v>115.35714285714286</v>
      </c>
      <c r="K62" s="19">
        <v>62.569104653517755</v>
      </c>
      <c r="L62" s="18">
        <v>-0.56999999999999995</v>
      </c>
      <c r="M62" s="19">
        <v>1.1054450360229666</v>
      </c>
      <c r="N62" s="18">
        <v>1.155</v>
      </c>
      <c r="O62" s="20">
        <v>263</v>
      </c>
      <c r="P62" s="19">
        <f>N62*(O62/1000)</f>
        <v>0.30376500000000001</v>
      </c>
      <c r="Q62" s="24" t="s">
        <v>83</v>
      </c>
    </row>
    <row r="63" spans="1:17" x14ac:dyDescent="0.25">
      <c r="A63" s="25">
        <v>54</v>
      </c>
      <c r="B63" s="26" t="s">
        <v>22</v>
      </c>
      <c r="C63" s="27" t="s">
        <v>23</v>
      </c>
      <c r="D63" s="28">
        <v>24.3</v>
      </c>
      <c r="E63" s="29">
        <v>306</v>
      </c>
      <c r="F63" s="30">
        <f>AVERAGE(15.67030655,16.86202337)</f>
        <v>16.266164959999998</v>
      </c>
      <c r="G63" s="31">
        <f>STDEV(15.67030655,16.86202337)</f>
        <v>0.84267104467606813</v>
      </c>
      <c r="H63" s="30">
        <v>0.60401232100000002</v>
      </c>
      <c r="I63" s="31">
        <v>8.5994796536369641E-2</v>
      </c>
      <c r="J63" s="30">
        <v>46.642857142857146</v>
      </c>
      <c r="K63" s="31">
        <v>20.411831303017795</v>
      </c>
      <c r="L63" s="30">
        <v>-0.36</v>
      </c>
      <c r="M63" s="31">
        <v>1.181933079759935</v>
      </c>
      <c r="N63" s="30">
        <v>1.2753380000000001</v>
      </c>
      <c r="O63" s="32" t="s">
        <v>54</v>
      </c>
      <c r="P63" s="31" t="s">
        <v>54</v>
      </c>
      <c r="Q63" s="33" t="s">
        <v>84</v>
      </c>
    </row>
    <row r="64" spans="1:17" ht="45" x14ac:dyDescent="0.25">
      <c r="A64" s="13">
        <v>55</v>
      </c>
      <c r="B64" s="22" t="s">
        <v>22</v>
      </c>
      <c r="C64" s="15" t="s">
        <v>85</v>
      </c>
      <c r="D64" s="16">
        <v>24.5</v>
      </c>
      <c r="E64" s="17">
        <v>310.7</v>
      </c>
      <c r="F64" s="18">
        <f>AVERAGE(176.4138644,175.0135249)</f>
        <v>175.71369464999998</v>
      </c>
      <c r="G64" s="19">
        <f>STDEV(176.4138644,175.0135249)</f>
        <v>0.99018955641338013</v>
      </c>
      <c r="H64" s="18">
        <v>4.2721186993333333</v>
      </c>
      <c r="I64" s="19">
        <v>1.7488267721244068</v>
      </c>
      <c r="J64" s="18">
        <v>534.35714285714289</v>
      </c>
      <c r="K64" s="19">
        <v>249.11299788306047</v>
      </c>
      <c r="L64" s="18">
        <v>-0.31</v>
      </c>
      <c r="M64" s="19">
        <v>1.1709670857596206</v>
      </c>
      <c r="N64" s="18" t="s">
        <v>54</v>
      </c>
      <c r="O64" s="20" t="s">
        <v>54</v>
      </c>
      <c r="P64" s="19" t="s">
        <v>54</v>
      </c>
      <c r="Q64" s="24" t="s">
        <v>86</v>
      </c>
    </row>
    <row r="65" spans="1:17" ht="45" x14ac:dyDescent="0.25">
      <c r="A65" s="25">
        <v>55</v>
      </c>
      <c r="B65" s="26" t="s">
        <v>22</v>
      </c>
      <c r="C65" s="27" t="s">
        <v>87</v>
      </c>
      <c r="D65" s="28">
        <v>24.5</v>
      </c>
      <c r="E65" s="29">
        <v>310.7</v>
      </c>
      <c r="F65" s="30">
        <f>AVERAGE(257.1733475,264.9416098)</f>
        <v>261.05747865000001</v>
      </c>
      <c r="G65" s="31">
        <f>STDEV(257.1733475,264.9416098)</f>
        <v>5.492990950365809</v>
      </c>
      <c r="H65" s="30">
        <v>0.6375319543913045</v>
      </c>
      <c r="I65" s="31">
        <v>0.19484346017098861</v>
      </c>
      <c r="J65" s="30">
        <v>121.3</v>
      </c>
      <c r="K65" s="31">
        <v>51.291812212087024</v>
      </c>
      <c r="L65" s="30">
        <v>-0.32</v>
      </c>
      <c r="M65" s="31">
        <v>1.4176449434870499</v>
      </c>
      <c r="N65" s="30" t="s">
        <v>54</v>
      </c>
      <c r="O65" s="32" t="s">
        <v>54</v>
      </c>
      <c r="P65" s="31" t="s">
        <v>54</v>
      </c>
      <c r="Q65" s="33" t="s">
        <v>88</v>
      </c>
    </row>
    <row r="66" spans="1:17" x14ac:dyDescent="0.25">
      <c r="A66" s="13">
        <v>56</v>
      </c>
      <c r="B66" s="22" t="s">
        <v>22</v>
      </c>
      <c r="C66" s="15" t="s">
        <v>23</v>
      </c>
      <c r="D66" s="16">
        <v>24.7</v>
      </c>
      <c r="E66" s="17">
        <v>305.60000000000002</v>
      </c>
      <c r="F66" s="18">
        <f>AVERAGE(3.939762659,3.780598531)</f>
        <v>3.8601805950000001</v>
      </c>
      <c r="G66" s="19">
        <f>STDEV(3.939762659,3.780598531)</f>
        <v>0.11254603423044365</v>
      </c>
      <c r="H66" s="18">
        <v>0.61351453550000001</v>
      </c>
      <c r="I66" s="19">
        <v>8.0815471447112916E-2</v>
      </c>
      <c r="J66" s="18">
        <v>69</v>
      </c>
      <c r="K66" s="19">
        <v>15.556349186104045</v>
      </c>
      <c r="L66" s="18">
        <v>-0.73</v>
      </c>
      <c r="M66" s="19">
        <v>1.0663208415943284</v>
      </c>
      <c r="N66" s="18">
        <v>1.199897</v>
      </c>
      <c r="O66" s="20">
        <v>94</v>
      </c>
      <c r="P66" s="19">
        <f>N66*(O66/1000)</f>
        <v>0.112790318</v>
      </c>
      <c r="Q66" s="24" t="s">
        <v>89</v>
      </c>
    </row>
    <row r="67" spans="1:17" ht="30" x14ac:dyDescent="0.25">
      <c r="A67" s="25">
        <v>57</v>
      </c>
      <c r="B67" s="26" t="s">
        <v>22</v>
      </c>
      <c r="C67" s="27" t="s">
        <v>23</v>
      </c>
      <c r="D67" s="28">
        <v>25.6</v>
      </c>
      <c r="E67" s="29">
        <v>312.8</v>
      </c>
      <c r="F67" s="30">
        <f>AVERAGE(38.48897181,43.57311444)</f>
        <v>41.031043124999997</v>
      </c>
      <c r="G67" s="31">
        <f>STDEV(38.48897181,43.57311444)</f>
        <v>3.5950317301926047</v>
      </c>
      <c r="H67" s="30">
        <v>1.5139179270000003</v>
      </c>
      <c r="I67" s="31">
        <v>0.22841556987019473</v>
      </c>
      <c r="J67" s="30">
        <v>270.75</v>
      </c>
      <c r="K67" s="31">
        <v>77.693843599949048</v>
      </c>
      <c r="L67" s="30">
        <v>-0.55000000000000004</v>
      </c>
      <c r="M67" s="31">
        <v>1.2098717079614805</v>
      </c>
      <c r="N67" s="30" t="s">
        <v>24</v>
      </c>
      <c r="O67" s="32" t="s">
        <v>24</v>
      </c>
      <c r="P67" s="31" t="s">
        <v>24</v>
      </c>
      <c r="Q67" s="33" t="s">
        <v>90</v>
      </c>
    </row>
    <row r="68" spans="1:17" ht="30" x14ac:dyDescent="0.25">
      <c r="A68" s="13">
        <v>58</v>
      </c>
      <c r="B68" s="22" t="s">
        <v>22</v>
      </c>
      <c r="C68" s="15" t="s">
        <v>23</v>
      </c>
      <c r="D68" s="16">
        <v>25.7</v>
      </c>
      <c r="E68" s="17">
        <v>320.89999999999998</v>
      </c>
      <c r="F68" s="18">
        <f>AVERAGE(111.2010968,112.4931298)</f>
        <v>111.8471133</v>
      </c>
      <c r="G68" s="19">
        <f>STDEV(111.2010968,112.4931296)</f>
        <v>0.91360515439544321</v>
      </c>
      <c r="H68" s="18">
        <v>0.26480475263157893</v>
      </c>
      <c r="I68" s="19">
        <v>4.2711250775607001E-2</v>
      </c>
      <c r="J68" s="18">
        <v>10.54999999999999</v>
      </c>
      <c r="K68" s="19">
        <v>2.9088944062421342</v>
      </c>
      <c r="L68" s="18">
        <v>-0.16</v>
      </c>
      <c r="M68" s="19">
        <v>1.2260652437187272</v>
      </c>
      <c r="N68" s="18" t="s">
        <v>24</v>
      </c>
      <c r="O68" s="20" t="s">
        <v>24</v>
      </c>
      <c r="P68" s="19" t="s">
        <v>24</v>
      </c>
      <c r="Q68" s="24" t="s">
        <v>91</v>
      </c>
    </row>
    <row r="69" spans="1:17" x14ac:dyDescent="0.25">
      <c r="A69" s="25">
        <v>59</v>
      </c>
      <c r="B69" s="26" t="s">
        <v>22</v>
      </c>
      <c r="C69" s="27" t="s">
        <v>23</v>
      </c>
      <c r="D69" s="28">
        <v>25.8</v>
      </c>
      <c r="E69" s="29">
        <v>317.39999999999998</v>
      </c>
      <c r="F69" s="30">
        <f>AVERAGE(19.55314316,19.26437574)</f>
        <v>19.408759449999998</v>
      </c>
      <c r="G69" s="31">
        <f>STDEV(19.55314316,19.26437574)</f>
        <v>0.20418940086774581</v>
      </c>
      <c r="H69" s="30">
        <v>1.8564998992000001</v>
      </c>
      <c r="I69" s="31">
        <v>0.54480359466837347</v>
      </c>
      <c r="J69" s="30">
        <v>99.5</v>
      </c>
      <c r="K69" s="31">
        <v>42.429353047153569</v>
      </c>
      <c r="L69" s="30">
        <v>-0.41</v>
      </c>
      <c r="M69" s="31">
        <v>1.3042773192314179</v>
      </c>
      <c r="N69" s="30">
        <v>48.483167000000002</v>
      </c>
      <c r="O69" s="32">
        <v>407.5</v>
      </c>
      <c r="P69" s="31">
        <f>N69*(O69/1000)</f>
        <v>19.7568905525</v>
      </c>
      <c r="Q69" s="33" t="s">
        <v>92</v>
      </c>
    </row>
    <row r="70" spans="1:17" ht="30" x14ac:dyDescent="0.25">
      <c r="A70" s="13">
        <v>60</v>
      </c>
      <c r="B70" s="22" t="s">
        <v>22</v>
      </c>
      <c r="C70" s="15" t="s">
        <v>93</v>
      </c>
      <c r="D70" s="16">
        <v>25.9</v>
      </c>
      <c r="E70" s="17">
        <v>312.5</v>
      </c>
      <c r="F70" s="18">
        <f>AVERAGE(177.0260687,169.9853513)</f>
        <v>173.50570999999999</v>
      </c>
      <c r="G70" s="19">
        <f>STDEV(177.0260687,169.9853513)</f>
        <v>4.9785390179581217</v>
      </c>
      <c r="H70" s="18">
        <v>0.75710815080000016</v>
      </c>
      <c r="I70" s="19">
        <v>0.41119350751400807</v>
      </c>
      <c r="J70" s="18">
        <v>94.36363636363636</v>
      </c>
      <c r="K70" s="19">
        <v>60.261965993938048</v>
      </c>
      <c r="L70" s="18">
        <v>-0.26</v>
      </c>
      <c r="M70" s="19">
        <v>1.2274430773559477</v>
      </c>
      <c r="N70" s="18">
        <v>34.417698000000001</v>
      </c>
      <c r="O70" s="20">
        <v>739.16666666666697</v>
      </c>
      <c r="P70" s="19">
        <f>N70*(O70/1000)</f>
        <v>25.44041510500001</v>
      </c>
      <c r="Q70" s="24" t="s">
        <v>94</v>
      </c>
    </row>
    <row r="71" spans="1:17" x14ac:dyDescent="0.25">
      <c r="A71" s="25">
        <v>61</v>
      </c>
      <c r="B71" s="26" t="s">
        <v>22</v>
      </c>
      <c r="C71" s="27" t="s">
        <v>23</v>
      </c>
      <c r="D71" s="28">
        <v>25.9</v>
      </c>
      <c r="E71" s="29">
        <v>317.8</v>
      </c>
      <c r="F71" s="30">
        <f>AVERAGE(19.2920522,21.20709101)</f>
        <v>20.249571605</v>
      </c>
      <c r="G71" s="31">
        <f>STDEV(19.2920522,21.20709101)</f>
        <v>1.3541369287864153</v>
      </c>
      <c r="H71" s="30">
        <v>0.5083306192</v>
      </c>
      <c r="I71" s="31">
        <v>0.18411996871977027</v>
      </c>
      <c r="J71" s="30">
        <v>98.833333333333329</v>
      </c>
      <c r="K71" s="31">
        <v>60.027216049610921</v>
      </c>
      <c r="L71" s="30">
        <v>-0.52</v>
      </c>
      <c r="M71" s="31">
        <v>1.1990517786162067</v>
      </c>
      <c r="N71" s="30">
        <v>10.891358</v>
      </c>
      <c r="O71" s="32">
        <v>273.5</v>
      </c>
      <c r="P71" s="31">
        <f>N71*(O71/1000)</f>
        <v>2.9787864130000004</v>
      </c>
      <c r="Q71" s="33" t="s">
        <v>95</v>
      </c>
    </row>
    <row r="72" spans="1:17" ht="60" x14ac:dyDescent="0.25">
      <c r="A72" s="13">
        <v>62</v>
      </c>
      <c r="B72" s="22" t="s">
        <v>22</v>
      </c>
      <c r="C72" s="15" t="s">
        <v>59</v>
      </c>
      <c r="D72" s="16">
        <v>26</v>
      </c>
      <c r="E72" s="17">
        <v>313.10000000000002</v>
      </c>
      <c r="F72" s="18">
        <f>AVERAGE(146.3191805,142.3027435)</f>
        <v>144.31096199999999</v>
      </c>
      <c r="G72" s="19">
        <f>STDEV(146.3191805,142.3027435)</f>
        <v>2.8400498389085507</v>
      </c>
      <c r="H72" s="18">
        <v>0.6628221919599997</v>
      </c>
      <c r="I72" s="19">
        <v>0.29906750548543104</v>
      </c>
      <c r="J72" s="18">
        <v>84.5</v>
      </c>
      <c r="K72" s="19">
        <v>49.527265218261341</v>
      </c>
      <c r="L72" s="18">
        <v>-0.24</v>
      </c>
      <c r="M72" s="19">
        <v>1.1703475911607595</v>
      </c>
      <c r="N72" s="18">
        <v>31.006395000000001</v>
      </c>
      <c r="O72" s="20">
        <v>352.5</v>
      </c>
      <c r="P72" s="19">
        <f>N72*(O72/1000)</f>
        <v>10.929754237499999</v>
      </c>
      <c r="Q72" s="24" t="s">
        <v>96</v>
      </c>
    </row>
    <row r="73" spans="1:17" ht="45" x14ac:dyDescent="0.25">
      <c r="A73" s="25">
        <v>63</v>
      </c>
      <c r="B73" s="26" t="s">
        <v>22</v>
      </c>
      <c r="C73" s="27" t="s">
        <v>85</v>
      </c>
      <c r="D73" s="28">
        <v>26.3</v>
      </c>
      <c r="E73" s="29">
        <v>316.3</v>
      </c>
      <c r="F73" s="30">
        <f>AVERAGE(85.9058877,104.4489154)</f>
        <v>95.177401549999999</v>
      </c>
      <c r="G73" s="31">
        <f>STDEV(85.9058877,104.4489154)</f>
        <v>13.111900630399997</v>
      </c>
      <c r="H73" s="30">
        <v>1.1447392747142859</v>
      </c>
      <c r="I73" s="31">
        <v>0.37169740328574657</v>
      </c>
      <c r="J73" s="30">
        <v>190.44130434782608</v>
      </c>
      <c r="K73" s="31">
        <v>53.836403390638338</v>
      </c>
      <c r="L73" s="30">
        <v>-0.5</v>
      </c>
      <c r="M73" s="31">
        <v>1.3423617809284483</v>
      </c>
      <c r="N73" s="30">
        <v>21.6707</v>
      </c>
      <c r="O73" s="32">
        <v>314</v>
      </c>
      <c r="P73" s="31">
        <f>N73*(O73/1000)</f>
        <v>6.8045998000000001</v>
      </c>
      <c r="Q73" s="33" t="s">
        <v>97</v>
      </c>
    </row>
    <row r="74" spans="1:17" ht="60" customHeight="1" x14ac:dyDescent="0.25">
      <c r="A74" s="13">
        <v>64</v>
      </c>
      <c r="B74" s="22" t="s">
        <v>22</v>
      </c>
      <c r="C74" s="15" t="s">
        <v>23</v>
      </c>
      <c r="D74" s="16">
        <v>26.7</v>
      </c>
      <c r="E74" s="17">
        <v>313.10000000000002</v>
      </c>
      <c r="F74" s="18">
        <f>AVERAGE(129.5200529,131.4279414)</f>
        <v>130.47399715</v>
      </c>
      <c r="G74" s="19">
        <f>STDEV(129.5200529,131.4279414)</f>
        <v>1.3490808960978393</v>
      </c>
      <c r="H74" s="18">
        <v>0.51504751100000001</v>
      </c>
      <c r="I74" s="19">
        <v>0.18179857101736135</v>
      </c>
      <c r="J74" s="18">
        <v>60.722222222222221</v>
      </c>
      <c r="K74" s="19">
        <v>36.618054897064702</v>
      </c>
      <c r="L74" s="18">
        <v>-0.23</v>
      </c>
      <c r="M74" s="19">
        <v>1.2148086504504156</v>
      </c>
      <c r="N74" s="18" t="s">
        <v>24</v>
      </c>
      <c r="O74" s="20" t="s">
        <v>24</v>
      </c>
      <c r="P74" s="19" t="s">
        <v>24</v>
      </c>
      <c r="Q74" s="24" t="s">
        <v>98</v>
      </c>
    </row>
    <row r="75" spans="1:17" x14ac:dyDescent="0.25">
      <c r="A75" s="77" t="s">
        <v>1</v>
      </c>
      <c r="B75" s="79" t="s">
        <v>2</v>
      </c>
      <c r="C75" s="81" t="s">
        <v>3</v>
      </c>
      <c r="D75" s="77" t="s">
        <v>4</v>
      </c>
      <c r="E75" s="81" t="s">
        <v>5</v>
      </c>
      <c r="F75" s="5" t="s">
        <v>6</v>
      </c>
      <c r="G75" s="7" t="s">
        <v>7</v>
      </c>
      <c r="H75" s="5" t="s">
        <v>8</v>
      </c>
      <c r="I75" s="7" t="s">
        <v>9</v>
      </c>
      <c r="J75" s="5" t="s">
        <v>10</v>
      </c>
      <c r="K75" s="7" t="s">
        <v>9</v>
      </c>
      <c r="L75" s="5" t="s">
        <v>11</v>
      </c>
      <c r="M75" s="8" t="s">
        <v>12</v>
      </c>
      <c r="N75" s="5" t="s">
        <v>13</v>
      </c>
      <c r="O75" s="6" t="s">
        <v>14</v>
      </c>
      <c r="P75" s="7" t="s">
        <v>15</v>
      </c>
      <c r="Q75" s="75" t="s">
        <v>16</v>
      </c>
    </row>
    <row r="76" spans="1:17" ht="18" x14ac:dyDescent="0.25">
      <c r="A76" s="78"/>
      <c r="B76" s="80"/>
      <c r="C76" s="82"/>
      <c r="D76" s="78"/>
      <c r="E76" s="82"/>
      <c r="F76" s="9" t="s">
        <v>17</v>
      </c>
      <c r="G76" s="11" t="s">
        <v>17</v>
      </c>
      <c r="H76" s="9" t="s">
        <v>17</v>
      </c>
      <c r="I76" s="11" t="s">
        <v>17</v>
      </c>
      <c r="J76" s="9" t="s">
        <v>18</v>
      </c>
      <c r="K76" s="11" t="s">
        <v>18</v>
      </c>
      <c r="L76" s="9" t="s">
        <v>19</v>
      </c>
      <c r="M76" s="12"/>
      <c r="N76" s="9" t="s">
        <v>20</v>
      </c>
      <c r="O76" s="10" t="s">
        <v>18</v>
      </c>
      <c r="P76" s="11" t="s">
        <v>21</v>
      </c>
      <c r="Q76" s="76"/>
    </row>
    <row r="77" spans="1:17" x14ac:dyDescent="0.25">
      <c r="A77" s="13">
        <v>65</v>
      </c>
      <c r="B77" s="22" t="s">
        <v>22</v>
      </c>
      <c r="C77" s="15" t="s">
        <v>23</v>
      </c>
      <c r="D77" s="16">
        <v>26.7</v>
      </c>
      <c r="E77" s="17">
        <v>316.8</v>
      </c>
      <c r="F77" s="18">
        <f>AVERAGE(80.8390453,82.83681497)</f>
        <v>81.837930134999993</v>
      </c>
      <c r="G77" s="19">
        <f>STDEV(80.8390453,82.83681497)</f>
        <v>1.4126364809058189</v>
      </c>
      <c r="H77" s="18">
        <v>1.3386103547391308</v>
      </c>
      <c r="I77" s="19">
        <v>0.35169912021571909</v>
      </c>
      <c r="J77" s="18">
        <v>118.3125</v>
      </c>
      <c r="K77" s="19">
        <v>77.70224187793518</v>
      </c>
      <c r="L77" s="18">
        <v>-0.44</v>
      </c>
      <c r="M77" s="19">
        <v>1.3320450448147174</v>
      </c>
      <c r="N77" s="18">
        <v>20.519048999999999</v>
      </c>
      <c r="O77" s="20">
        <v>263</v>
      </c>
      <c r="P77" s="19">
        <f>N77*(O77/1000)</f>
        <v>5.3965098869999997</v>
      </c>
      <c r="Q77" s="24" t="s">
        <v>99</v>
      </c>
    </row>
    <row r="78" spans="1:17" ht="30" x14ac:dyDescent="0.25">
      <c r="A78" s="25">
        <v>66</v>
      </c>
      <c r="B78" s="26" t="s">
        <v>22</v>
      </c>
      <c r="C78" s="27" t="s">
        <v>23</v>
      </c>
      <c r="D78" s="28">
        <v>26.7</v>
      </c>
      <c r="E78" s="29">
        <v>317.10000000000002</v>
      </c>
      <c r="F78" s="30">
        <f>AVERAGE(37.81818153,38.81124768)</f>
        <v>38.314714604999999</v>
      </c>
      <c r="G78" s="31">
        <f>STDEV(37.81818153,38.81124768)</f>
        <v>0.7022038088318201</v>
      </c>
      <c r="H78" s="30">
        <v>0.97942901577777775</v>
      </c>
      <c r="I78" s="31">
        <v>0.28722691930411581</v>
      </c>
      <c r="J78" s="30">
        <v>109.625</v>
      </c>
      <c r="K78" s="31">
        <v>57.748556980528384</v>
      </c>
      <c r="L78" s="30">
        <v>-0.55000000000000004</v>
      </c>
      <c r="M78" s="31">
        <v>1.1856888157811585</v>
      </c>
      <c r="N78" s="30">
        <v>7.5961400000000001</v>
      </c>
      <c r="O78" s="32">
        <v>187.33333333333334</v>
      </c>
      <c r="P78" s="31">
        <f>N78*(O78/1000)</f>
        <v>1.4230102266666669</v>
      </c>
      <c r="Q78" s="33" t="s">
        <v>100</v>
      </c>
    </row>
    <row r="79" spans="1:17" x14ac:dyDescent="0.25">
      <c r="A79" s="13">
        <v>67</v>
      </c>
      <c r="B79" s="22" t="s">
        <v>22</v>
      </c>
      <c r="C79" s="15" t="s">
        <v>23</v>
      </c>
      <c r="D79" s="16">
        <v>26.9</v>
      </c>
      <c r="E79" s="17">
        <v>316.7</v>
      </c>
      <c r="F79" s="18">
        <f>AVERAGE(72.37489278,71.13791874)</f>
        <v>71.756405760000007</v>
      </c>
      <c r="G79" s="19">
        <f>STDEV(72.37489278,71.13791874)</f>
        <v>0.87467273183571448</v>
      </c>
      <c r="H79" s="18">
        <v>1.2188121746666669</v>
      </c>
      <c r="I79" s="19">
        <v>0.31714737238129731</v>
      </c>
      <c r="J79" s="18">
        <v>68.833333333333329</v>
      </c>
      <c r="K79" s="19">
        <v>34.730210192280722</v>
      </c>
      <c r="L79" s="18">
        <v>-0.49</v>
      </c>
      <c r="M79" s="19">
        <v>1.312659873839505</v>
      </c>
      <c r="N79" s="18">
        <v>14.399912</v>
      </c>
      <c r="O79" s="20">
        <v>517.25</v>
      </c>
      <c r="P79" s="19">
        <f>N79*(O79/1000)</f>
        <v>7.4483544820000001</v>
      </c>
      <c r="Q79" s="24" t="s">
        <v>101</v>
      </c>
    </row>
    <row r="80" spans="1:17" x14ac:dyDescent="0.25">
      <c r="A80" s="25">
        <v>68</v>
      </c>
      <c r="B80" s="26" t="s">
        <v>22</v>
      </c>
      <c r="C80" s="27" t="s">
        <v>23</v>
      </c>
      <c r="D80" s="28">
        <v>26.9</v>
      </c>
      <c r="E80" s="29">
        <v>317.5</v>
      </c>
      <c r="F80" s="30">
        <f>AVERAGE(14.15029389,14.91281261)</f>
        <v>14.53155325</v>
      </c>
      <c r="G80" s="31">
        <f>STDEV(14.15029389,14.91281261)</f>
        <v>0.53918215769368572</v>
      </c>
      <c r="H80" s="30">
        <v>0.26107158919999995</v>
      </c>
      <c r="I80" s="31">
        <v>4.5971925947564496E-2</v>
      </c>
      <c r="J80" s="30">
        <v>24.2</v>
      </c>
      <c r="K80" s="31">
        <v>7.2076348409169597</v>
      </c>
      <c r="L80" s="30">
        <v>-0.67</v>
      </c>
      <c r="M80" s="31">
        <v>1.266188179205163</v>
      </c>
      <c r="N80" s="30" t="s">
        <v>24</v>
      </c>
      <c r="O80" s="32" t="s">
        <v>24</v>
      </c>
      <c r="P80" s="31" t="s">
        <v>24</v>
      </c>
      <c r="Q80" s="33" t="s">
        <v>102</v>
      </c>
    </row>
    <row r="81" spans="1:17" x14ac:dyDescent="0.25">
      <c r="A81" s="13">
        <v>69</v>
      </c>
      <c r="B81" s="22" t="s">
        <v>22</v>
      </c>
      <c r="C81" s="15" t="s">
        <v>23</v>
      </c>
      <c r="D81" s="16">
        <v>27.1</v>
      </c>
      <c r="E81" s="17">
        <v>313.39999999999998</v>
      </c>
      <c r="F81" s="18">
        <f>AVERAGE(25.84947294,27.68554309)</f>
        <v>26.767508014999997</v>
      </c>
      <c r="G81" s="19">
        <f>STDEV(25.84947294,27.68554309)</f>
        <v>1.2982976537992024</v>
      </c>
      <c r="H81" s="18">
        <v>0.51815418366666666</v>
      </c>
      <c r="I81" s="19">
        <v>0.18607656506888329</v>
      </c>
      <c r="J81" s="18">
        <v>67.875</v>
      </c>
      <c r="K81" s="19">
        <v>35.756992323180654</v>
      </c>
      <c r="L81" s="18">
        <v>-0.33</v>
      </c>
      <c r="M81" s="19">
        <v>1.2125431914731533</v>
      </c>
      <c r="N81" s="18">
        <v>2.5074559999999999</v>
      </c>
      <c r="O81" s="20">
        <v>216.625</v>
      </c>
      <c r="P81" s="19">
        <f>N81*(O81/1000)</f>
        <v>0.54317765600000001</v>
      </c>
      <c r="Q81" s="24" t="s">
        <v>103</v>
      </c>
    </row>
    <row r="82" spans="1:17" ht="30" x14ac:dyDescent="0.25">
      <c r="A82" s="25">
        <v>70</v>
      </c>
      <c r="B82" s="26" t="s">
        <v>22</v>
      </c>
      <c r="C82" s="27" t="s">
        <v>23</v>
      </c>
      <c r="D82" s="28">
        <v>27.3</v>
      </c>
      <c r="E82" s="29">
        <v>317.39999999999998</v>
      </c>
      <c r="F82" s="30">
        <f>AVERAGE(30.90425245,33.98653218)</f>
        <v>32.445392314999999</v>
      </c>
      <c r="G82" s="31">
        <f>STDEV(30.90425245,33.98653218)</f>
        <v>2.1795008985968383</v>
      </c>
      <c r="H82" s="30">
        <v>1.1636816351514356</v>
      </c>
      <c r="I82" s="31">
        <v>0.57041229530432092</v>
      </c>
      <c r="J82" s="30">
        <v>103</v>
      </c>
      <c r="K82" s="31" t="s">
        <v>24</v>
      </c>
      <c r="L82" s="30">
        <v>-0.64</v>
      </c>
      <c r="M82" s="31">
        <v>1.7112565152066899</v>
      </c>
      <c r="N82" s="30" t="s">
        <v>24</v>
      </c>
      <c r="O82" s="32" t="s">
        <v>24</v>
      </c>
      <c r="P82" s="31" t="s">
        <v>24</v>
      </c>
      <c r="Q82" s="33" t="s">
        <v>104</v>
      </c>
    </row>
    <row r="83" spans="1:17" ht="45" x14ac:dyDescent="0.25">
      <c r="A83" s="13">
        <v>71</v>
      </c>
      <c r="B83" s="22" t="s">
        <v>22</v>
      </c>
      <c r="C83" s="15" t="s">
        <v>23</v>
      </c>
      <c r="D83" s="16">
        <v>27.3</v>
      </c>
      <c r="E83" s="17">
        <v>318.10000000000002</v>
      </c>
      <c r="F83" s="18">
        <f>AVERAGE(20.89939659,22.22192505)</f>
        <v>21.560660819999999</v>
      </c>
      <c r="G83" s="19">
        <f>STDEV(20.89939659,22.22192505)</f>
        <v>0.9351688423782023</v>
      </c>
      <c r="H83" s="18">
        <v>0.54139481216666663</v>
      </c>
      <c r="I83" s="19">
        <v>0.14962129881853914</v>
      </c>
      <c r="J83" s="18">
        <v>89.5</v>
      </c>
      <c r="K83" s="19">
        <v>37.220626002258477</v>
      </c>
      <c r="L83" s="18">
        <v>-0.73</v>
      </c>
      <c r="M83" s="19">
        <v>1.1371667490464927</v>
      </c>
      <c r="N83" s="18" t="s">
        <v>24</v>
      </c>
      <c r="O83" s="20" t="s">
        <v>24</v>
      </c>
      <c r="P83" s="19" t="s">
        <v>24</v>
      </c>
      <c r="Q83" s="24" t="s">
        <v>105</v>
      </c>
    </row>
    <row r="84" spans="1:17" x14ac:dyDescent="0.25">
      <c r="A84" s="25">
        <v>72</v>
      </c>
      <c r="B84" s="26" t="s">
        <v>22</v>
      </c>
      <c r="C84" s="27" t="s">
        <v>23</v>
      </c>
      <c r="D84" s="28">
        <v>27.4</v>
      </c>
      <c r="E84" s="29">
        <v>313.39999999999998</v>
      </c>
      <c r="F84" s="30">
        <f>AVERAGE(22.17539215,21.08865632)</f>
        <v>21.632024234999999</v>
      </c>
      <c r="G84" s="31">
        <f>STDEV(22.17539215,21.08865632)</f>
        <v>0.76843827475139259</v>
      </c>
      <c r="H84" s="30">
        <v>0.50124319437499998</v>
      </c>
      <c r="I84" s="31">
        <v>0.14418453264317022</v>
      </c>
      <c r="J84" s="30">
        <v>68.333333333333329</v>
      </c>
      <c r="K84" s="31">
        <v>16.750621879002971</v>
      </c>
      <c r="L84" s="30">
        <v>-0.28000000000000003</v>
      </c>
      <c r="M84" s="31">
        <v>1.1654110869490308</v>
      </c>
      <c r="N84" s="30">
        <v>1.147556</v>
      </c>
      <c r="O84" s="32">
        <v>199.25</v>
      </c>
      <c r="P84" s="31">
        <f>N84*(O84/1000)</f>
        <v>0.22865053300000002</v>
      </c>
      <c r="Q84" s="33" t="s">
        <v>106</v>
      </c>
    </row>
    <row r="85" spans="1:17" ht="45" x14ac:dyDescent="0.25">
      <c r="A85" s="13">
        <v>73</v>
      </c>
      <c r="B85" s="22" t="s">
        <v>22</v>
      </c>
      <c r="C85" s="15" t="s">
        <v>23</v>
      </c>
      <c r="D85" s="16">
        <v>27.8</v>
      </c>
      <c r="E85" s="17">
        <v>313.60000000000002</v>
      </c>
      <c r="F85" s="18">
        <f>AVERAGE(9.830965962,9.23042781)</f>
        <v>9.5306968860000012</v>
      </c>
      <c r="G85" s="19">
        <f>STDEV(9.830965962,9.23042781)</f>
        <v>0.42464459964043788</v>
      </c>
      <c r="H85" s="18">
        <v>0.42007241233333326</v>
      </c>
      <c r="I85" s="19">
        <v>3.8661736177874398E-2</v>
      </c>
      <c r="J85" s="18">
        <v>69.625</v>
      </c>
      <c r="K85" s="19">
        <v>10.29866496202299</v>
      </c>
      <c r="L85" s="18">
        <v>-0.19</v>
      </c>
      <c r="M85" s="19">
        <v>1.1799612798917785</v>
      </c>
      <c r="N85" s="18">
        <v>2.8819360000000001</v>
      </c>
      <c r="O85" s="20">
        <v>111</v>
      </c>
      <c r="P85" s="19">
        <f>N85*(O85/1000)</f>
        <v>0.31989489599999998</v>
      </c>
      <c r="Q85" s="24" t="s">
        <v>107</v>
      </c>
    </row>
    <row r="86" spans="1:17" ht="60" x14ac:dyDescent="0.25">
      <c r="A86" s="25">
        <v>74</v>
      </c>
      <c r="B86" s="26" t="s">
        <v>22</v>
      </c>
      <c r="C86" s="27" t="s">
        <v>57</v>
      </c>
      <c r="D86" s="28">
        <v>28.1</v>
      </c>
      <c r="E86" s="29">
        <v>310.3</v>
      </c>
      <c r="F86" s="30">
        <f>AVERAGE(93.59219723,95.32938585)</f>
        <v>94.460791540000002</v>
      </c>
      <c r="G86" s="31">
        <f>STDEV(93.59219723,95.32938585)</f>
        <v>1.2283778534020988</v>
      </c>
      <c r="H86" s="30">
        <v>1.087351851</v>
      </c>
      <c r="I86" s="31">
        <v>0.2412445485441953</v>
      </c>
      <c r="J86" s="30">
        <v>225.375</v>
      </c>
      <c r="K86" s="31">
        <v>98.631785782609995</v>
      </c>
      <c r="L86" s="30">
        <v>-0.49</v>
      </c>
      <c r="M86" s="31">
        <v>1.2102800969090701</v>
      </c>
      <c r="N86" s="30">
        <v>5.5326500000000003</v>
      </c>
      <c r="O86" s="32">
        <v>290</v>
      </c>
      <c r="P86" s="31">
        <f>N86*(O86/1000)</f>
        <v>1.6044685000000001</v>
      </c>
      <c r="Q86" s="33" t="s">
        <v>108</v>
      </c>
    </row>
    <row r="87" spans="1:17" ht="30" x14ac:dyDescent="0.25">
      <c r="A87" s="13">
        <v>74</v>
      </c>
      <c r="B87" s="22" t="s">
        <v>22</v>
      </c>
      <c r="C87" s="15" t="s">
        <v>59</v>
      </c>
      <c r="D87" s="16">
        <v>29.4</v>
      </c>
      <c r="E87" s="17">
        <v>311</v>
      </c>
      <c r="F87" s="18">
        <f>AVERAGE(46.08066096,47.56996474)</f>
        <v>46.825312850000003</v>
      </c>
      <c r="G87" s="19">
        <f>STDEV(46.08066096,47.56996474)</f>
        <v>1.0530968020847582</v>
      </c>
      <c r="H87" s="18">
        <v>0.90473848533333334</v>
      </c>
      <c r="I87" s="19">
        <v>0.25918096837505861</v>
      </c>
      <c r="J87" s="18">
        <v>104.91666666666667</v>
      </c>
      <c r="K87" s="19">
        <v>66.713879115718242</v>
      </c>
      <c r="L87" s="18">
        <v>-0.22</v>
      </c>
      <c r="M87" s="19">
        <v>1.2090111385654685</v>
      </c>
      <c r="N87" s="18" t="s">
        <v>24</v>
      </c>
      <c r="O87" s="20" t="s">
        <v>24</v>
      </c>
      <c r="P87" s="19" t="s">
        <v>24</v>
      </c>
      <c r="Q87" s="24" t="s">
        <v>109</v>
      </c>
    </row>
    <row r="88" spans="1:17" ht="30" x14ac:dyDescent="0.25">
      <c r="A88" s="25">
        <v>75</v>
      </c>
      <c r="B88" s="26" t="s">
        <v>22</v>
      </c>
      <c r="C88" s="27" t="s">
        <v>23</v>
      </c>
      <c r="D88" s="28">
        <v>28.2</v>
      </c>
      <c r="E88" s="29">
        <v>312.39999999999998</v>
      </c>
      <c r="F88" s="30">
        <f>AVERAGE(80.77343634,79.4326012)</f>
        <v>80.103018770000006</v>
      </c>
      <c r="G88" s="31">
        <f>STDEV(80.77343634,79.4326012)</f>
        <v>0.94811361994722088</v>
      </c>
      <c r="H88" s="30">
        <v>0.48357493973333326</v>
      </c>
      <c r="I88" s="31">
        <v>0.16089979454366127</v>
      </c>
      <c r="J88" s="30">
        <v>81.333333333333329</v>
      </c>
      <c r="K88" s="31">
        <v>38.971357003146132</v>
      </c>
      <c r="L88" s="30">
        <v>-0.35</v>
      </c>
      <c r="M88" s="31">
        <v>1.1935267995912127</v>
      </c>
      <c r="N88" s="30">
        <v>5.1441049999999997</v>
      </c>
      <c r="O88" s="32">
        <v>320</v>
      </c>
      <c r="P88" s="31">
        <f>N88*(O88/1000)</f>
        <v>1.6461135999999998</v>
      </c>
      <c r="Q88" s="33" t="s">
        <v>110</v>
      </c>
    </row>
    <row r="89" spans="1:17" ht="60" customHeight="1" x14ac:dyDescent="0.25">
      <c r="A89" s="13">
        <v>76</v>
      </c>
      <c r="B89" s="22" t="s">
        <v>22</v>
      </c>
      <c r="C89" s="15" t="s">
        <v>23</v>
      </c>
      <c r="D89" s="16">
        <v>28.4</v>
      </c>
      <c r="E89" s="17">
        <v>309</v>
      </c>
      <c r="F89" s="18">
        <f>AVERAGE(64.32559726,66.16310075)</f>
        <v>65.244349005000004</v>
      </c>
      <c r="G89" s="19">
        <f>STDEV(64.32559726,66.16310075)</f>
        <v>1.2993111782329496</v>
      </c>
      <c r="H89" s="18">
        <v>0.70573032550000003</v>
      </c>
      <c r="I89" s="19">
        <v>0.31106297048629983</v>
      </c>
      <c r="J89" s="18">
        <v>119.23076923076923</v>
      </c>
      <c r="K89" s="19">
        <v>92.377535009108001</v>
      </c>
      <c r="L89" s="18">
        <v>-0.75</v>
      </c>
      <c r="M89" s="19">
        <v>1.4061290031713545</v>
      </c>
      <c r="N89" s="18" t="s">
        <v>24</v>
      </c>
      <c r="O89" s="20" t="s">
        <v>24</v>
      </c>
      <c r="P89" s="19" t="s">
        <v>24</v>
      </c>
      <c r="Q89" s="24" t="s">
        <v>256</v>
      </c>
    </row>
    <row r="90" spans="1:17" ht="30" x14ac:dyDescent="0.25">
      <c r="A90" s="25">
        <v>77</v>
      </c>
      <c r="B90" s="26" t="s">
        <v>22</v>
      </c>
      <c r="C90" s="27" t="s">
        <v>23</v>
      </c>
      <c r="D90" s="28">
        <v>28.5</v>
      </c>
      <c r="E90" s="29">
        <v>311.8</v>
      </c>
      <c r="F90" s="30">
        <f>AVERAGE(60.95964132,58.40260111)</f>
        <v>59.681121215000005</v>
      </c>
      <c r="G90" s="31">
        <f>STDEV(60.95964132,58.40260111)</f>
        <v>1.8081004722576763</v>
      </c>
      <c r="H90" s="30">
        <v>0.77208554814285724</v>
      </c>
      <c r="I90" s="31">
        <v>0.11135856459960827</v>
      </c>
      <c r="J90" s="30">
        <v>90.916666666666671</v>
      </c>
      <c r="K90" s="31">
        <v>43.005135352265398</v>
      </c>
      <c r="L90" s="30">
        <v>-0.32</v>
      </c>
      <c r="M90" s="31">
        <v>1.2287156098718037</v>
      </c>
      <c r="N90" s="30" t="s">
        <v>24</v>
      </c>
      <c r="O90" s="32" t="s">
        <v>24</v>
      </c>
      <c r="P90" s="31" t="s">
        <v>24</v>
      </c>
      <c r="Q90" s="33" t="s">
        <v>111</v>
      </c>
    </row>
    <row r="91" spans="1:17" ht="30" x14ac:dyDescent="0.25">
      <c r="A91" s="13">
        <v>78</v>
      </c>
      <c r="B91" s="22" t="s">
        <v>22</v>
      </c>
      <c r="C91" s="15" t="s">
        <v>23</v>
      </c>
      <c r="D91" s="16">
        <v>29</v>
      </c>
      <c r="E91" s="17">
        <v>314.10000000000002</v>
      </c>
      <c r="F91" s="18">
        <f>AVERAGE(33.40908314,33.53585412)</f>
        <v>33.472468630000002</v>
      </c>
      <c r="G91" s="19">
        <f>STDEV(33.40908314,33.53585412)</f>
        <v>8.964061961566662E-2</v>
      </c>
      <c r="H91" s="18">
        <v>0.61754125474999999</v>
      </c>
      <c r="I91" s="19">
        <v>0.17338575394249461</v>
      </c>
      <c r="J91" s="18">
        <v>40.388888888888886</v>
      </c>
      <c r="K91" s="19">
        <v>21.605522699326464</v>
      </c>
      <c r="L91" s="18">
        <v>-0.3</v>
      </c>
      <c r="M91" s="19">
        <v>1.1246727826194145</v>
      </c>
      <c r="N91" s="18" t="s">
        <v>24</v>
      </c>
      <c r="O91" s="20" t="s">
        <v>24</v>
      </c>
      <c r="P91" s="19" t="s">
        <v>24</v>
      </c>
      <c r="Q91" s="24" t="s">
        <v>112</v>
      </c>
    </row>
    <row r="92" spans="1:17" x14ac:dyDescent="0.25">
      <c r="A92" s="25">
        <v>79</v>
      </c>
      <c r="B92" s="26" t="s">
        <v>22</v>
      </c>
      <c r="C92" s="27" t="s">
        <v>23</v>
      </c>
      <c r="D92" s="28">
        <v>29.6</v>
      </c>
      <c r="E92" s="29">
        <v>311.89999999999998</v>
      </c>
      <c r="F92" s="30">
        <f>AVERAGE(15.13687945,15.5778651)</f>
        <v>15.357372274999999</v>
      </c>
      <c r="G92" s="31">
        <f>STDEV(15.13687945,15.5778651)</f>
        <v>0.31182394352095744</v>
      </c>
      <c r="H92" s="30">
        <v>0.54463460274999997</v>
      </c>
      <c r="I92" s="31">
        <v>0.27342768570293358</v>
      </c>
      <c r="J92" s="30">
        <v>40.25</v>
      </c>
      <c r="K92" s="31">
        <v>22.548096741558183</v>
      </c>
      <c r="L92" s="30">
        <v>-0.15</v>
      </c>
      <c r="M92" s="31">
        <v>1.2030902146402316</v>
      </c>
      <c r="N92" s="30" t="s">
        <v>24</v>
      </c>
      <c r="O92" s="32" t="s">
        <v>24</v>
      </c>
      <c r="P92" s="31" t="s">
        <v>24</v>
      </c>
      <c r="Q92" s="33" t="s">
        <v>255</v>
      </c>
    </row>
    <row r="93" spans="1:17" ht="30" x14ac:dyDescent="0.25">
      <c r="A93" s="13">
        <v>80</v>
      </c>
      <c r="B93" s="22" t="s">
        <v>22</v>
      </c>
      <c r="C93" s="15" t="s">
        <v>23</v>
      </c>
      <c r="D93" s="16">
        <v>29.8</v>
      </c>
      <c r="E93" s="17">
        <v>310.10000000000002</v>
      </c>
      <c r="F93" s="18">
        <f>AVERAGE(35.41764045,32.1578674)</f>
        <v>33.787753925000004</v>
      </c>
      <c r="G93" s="19">
        <f>STDEV(35.41764045,32.1578674)</f>
        <v>2.3050076287841543</v>
      </c>
      <c r="H93" s="18">
        <v>4.2713230500000003</v>
      </c>
      <c r="I93" s="19">
        <v>0.41767020858674675</v>
      </c>
      <c r="J93" s="18">
        <v>227.75</v>
      </c>
      <c r="K93" s="19">
        <v>25.785978101803053</v>
      </c>
      <c r="L93" s="18">
        <v>-0.47</v>
      </c>
      <c r="M93" s="19">
        <v>1.1425971443882321</v>
      </c>
      <c r="N93" s="18" t="s">
        <v>24</v>
      </c>
      <c r="O93" s="20" t="s">
        <v>24</v>
      </c>
      <c r="P93" s="19" t="s">
        <v>24</v>
      </c>
      <c r="Q93" s="24" t="s">
        <v>113</v>
      </c>
    </row>
    <row r="94" spans="1:17" ht="30" x14ac:dyDescent="0.25">
      <c r="A94" s="25">
        <v>81</v>
      </c>
      <c r="B94" s="26" t="s">
        <v>22</v>
      </c>
      <c r="C94" s="27" t="s">
        <v>23</v>
      </c>
      <c r="D94" s="28">
        <v>29.9</v>
      </c>
      <c r="E94" s="29">
        <v>308.2</v>
      </c>
      <c r="F94" s="30">
        <f>AVERAGE(158.9824517,155.1041325)</f>
        <v>157.0432921</v>
      </c>
      <c r="G94" s="31">
        <f>STDEV(158.9824517,155.1041325)</f>
        <v>2.7423858059260011</v>
      </c>
      <c r="H94" s="30">
        <v>0.31144236456250002</v>
      </c>
      <c r="I94" s="31">
        <v>6.3558279458281366E-2</v>
      </c>
      <c r="J94" s="30">
        <v>33.441176470588232</v>
      </c>
      <c r="K94" s="31">
        <v>8.7122083038350109</v>
      </c>
      <c r="L94" s="30">
        <v>-0.01</v>
      </c>
      <c r="M94" s="31">
        <v>1.5682893862035159</v>
      </c>
      <c r="N94" s="30">
        <v>0.40368300000000001</v>
      </c>
      <c r="O94" s="32" t="s">
        <v>24</v>
      </c>
      <c r="P94" s="31" t="s">
        <v>24</v>
      </c>
      <c r="Q94" s="33" t="s">
        <v>114</v>
      </c>
    </row>
    <row r="95" spans="1:17" ht="30" x14ac:dyDescent="0.25">
      <c r="A95" s="13">
        <v>82</v>
      </c>
      <c r="B95" s="22" t="s">
        <v>22</v>
      </c>
      <c r="C95" s="15" t="s">
        <v>23</v>
      </c>
      <c r="D95" s="16">
        <v>30</v>
      </c>
      <c r="E95" s="17">
        <v>305.89999999999998</v>
      </c>
      <c r="F95" s="18">
        <f>AVERAGE(31.39602802,31.38945408)</f>
        <v>31.392741049999998</v>
      </c>
      <c r="G95" s="19">
        <f>STDEV(31.39602802,31.38945408)</f>
        <v>4.6484775531128644E-3</v>
      </c>
      <c r="H95" s="18">
        <v>0.68261448418181814</v>
      </c>
      <c r="I95" s="19">
        <v>0.17652553203355245</v>
      </c>
      <c r="J95" s="18">
        <v>37.6</v>
      </c>
      <c r="K95" s="19">
        <v>8.1710872389582665</v>
      </c>
      <c r="L95" s="18">
        <v>-0.28000000000000003</v>
      </c>
      <c r="M95" s="19">
        <v>1.39</v>
      </c>
      <c r="N95" s="18" t="s">
        <v>24</v>
      </c>
      <c r="O95" s="20" t="s">
        <v>24</v>
      </c>
      <c r="P95" s="19" t="s">
        <v>24</v>
      </c>
      <c r="Q95" s="24" t="s">
        <v>115</v>
      </c>
    </row>
    <row r="96" spans="1:17" ht="45" x14ac:dyDescent="0.25">
      <c r="A96" s="25">
        <v>83</v>
      </c>
      <c r="B96" s="34" t="s">
        <v>22</v>
      </c>
      <c r="C96" s="27" t="s">
        <v>23</v>
      </c>
      <c r="D96" s="28">
        <v>35.299999999999997</v>
      </c>
      <c r="E96" s="29">
        <v>315.8</v>
      </c>
      <c r="F96" s="30">
        <f>AVERAGE(55.71203678,55.33983498)</f>
        <v>55.525935879999999</v>
      </c>
      <c r="G96" s="31">
        <f>STDEV(55.71203678,55.33983498)</f>
        <v>0.2631864167498385</v>
      </c>
      <c r="H96" s="30">
        <v>0.73157019110526322</v>
      </c>
      <c r="I96" s="31">
        <v>0.28412885448001701</v>
      </c>
      <c r="J96" s="30">
        <v>111.75</v>
      </c>
      <c r="K96" s="31">
        <v>58.276434835556451</v>
      </c>
      <c r="L96" s="30">
        <v>-0.03</v>
      </c>
      <c r="M96" s="31">
        <v>1.1973357154023467</v>
      </c>
      <c r="N96" s="30">
        <v>23.402373000000001</v>
      </c>
      <c r="O96" s="32">
        <v>562.125</v>
      </c>
      <c r="P96" s="31">
        <f>N96*(O96/1000)</f>
        <v>13.155058922625001</v>
      </c>
      <c r="Q96" s="33" t="s">
        <v>116</v>
      </c>
    </row>
    <row r="97" spans="1:17" ht="30" x14ac:dyDescent="0.25">
      <c r="A97" s="13">
        <v>84</v>
      </c>
      <c r="B97" s="14" t="s">
        <v>22</v>
      </c>
      <c r="C97" s="15" t="s">
        <v>23</v>
      </c>
      <c r="D97" s="16">
        <v>36</v>
      </c>
      <c r="E97" s="17">
        <v>319.7</v>
      </c>
      <c r="F97" s="18">
        <f>AVERAGE(13.54234423,14.03373466)</f>
        <v>13.788039444999999</v>
      </c>
      <c r="G97" s="19">
        <f>STDEV(13.54234423,14.03373466)</f>
        <v>0.34746550526317416</v>
      </c>
      <c r="H97" s="18">
        <v>0.20270495785714288</v>
      </c>
      <c r="I97" s="19">
        <v>8.8604773510399651E-2</v>
      </c>
      <c r="J97" s="18">
        <v>10.5</v>
      </c>
      <c r="K97" s="19" t="s">
        <v>24</v>
      </c>
      <c r="L97" s="18">
        <v>0.12</v>
      </c>
      <c r="M97" s="19">
        <v>1.1275968807769599</v>
      </c>
      <c r="N97" s="18">
        <v>0.2172</v>
      </c>
      <c r="O97" s="20" t="s">
        <v>24</v>
      </c>
      <c r="P97" s="19" t="s">
        <v>24</v>
      </c>
      <c r="Q97" s="24" t="s">
        <v>117</v>
      </c>
    </row>
    <row r="98" spans="1:17" ht="75" x14ac:dyDescent="0.25">
      <c r="A98" s="25">
        <v>85</v>
      </c>
      <c r="B98" s="34" t="s">
        <v>22</v>
      </c>
      <c r="C98" s="35" t="s">
        <v>118</v>
      </c>
      <c r="D98" s="28">
        <v>36.700000000000003</v>
      </c>
      <c r="E98" s="29">
        <v>313.60000000000002</v>
      </c>
      <c r="F98" s="30">
        <f>AVERAGE(563.2975952,568.0565374)</f>
        <v>565.67706629999998</v>
      </c>
      <c r="G98" s="31">
        <f>STDEV(563.2975952,568.0565374)</f>
        <v>3.3650803008948116</v>
      </c>
      <c r="H98" s="30">
        <v>0.84019669441791023</v>
      </c>
      <c r="I98" s="31">
        <v>0.40230678434976758</v>
      </c>
      <c r="J98" s="30">
        <v>76.71621621621621</v>
      </c>
      <c r="K98" s="31">
        <v>82.149976376251132</v>
      </c>
      <c r="L98" s="30">
        <v>-8.0000000000000002E-3</v>
      </c>
      <c r="M98" s="31">
        <v>1.1525695107028846</v>
      </c>
      <c r="N98" s="30">
        <v>3.6625779999999999</v>
      </c>
      <c r="O98" s="32">
        <v>273.25</v>
      </c>
      <c r="P98" s="31">
        <f>N98*(O98/1000)</f>
        <v>1.0007994384999999</v>
      </c>
      <c r="Q98" s="33" t="s">
        <v>119</v>
      </c>
    </row>
    <row r="99" spans="1:17" ht="75" x14ac:dyDescent="0.25">
      <c r="A99" s="13">
        <v>85</v>
      </c>
      <c r="B99" s="14" t="s">
        <v>22</v>
      </c>
      <c r="C99" s="23" t="s">
        <v>118</v>
      </c>
      <c r="D99" s="16">
        <v>48.1</v>
      </c>
      <c r="E99" s="17">
        <v>310.3</v>
      </c>
      <c r="F99" s="18">
        <f>AVERAGE(481.1976196, 485.1253028)</f>
        <v>483.16146119999996</v>
      </c>
      <c r="G99" s="19">
        <f>STDEV(481.1976196, 485.1253028)</f>
        <v>2.7772914250724714</v>
      </c>
      <c r="H99" s="18">
        <v>0.84019669441791034</v>
      </c>
      <c r="I99" s="19">
        <v>0.40230678434976724</v>
      </c>
      <c r="J99" s="18">
        <v>70.672413793103445</v>
      </c>
      <c r="K99" s="19">
        <v>80.259765300606105</v>
      </c>
      <c r="L99" s="18">
        <v>-0.02</v>
      </c>
      <c r="M99" s="19">
        <v>1.1525695107028846</v>
      </c>
      <c r="N99" s="18">
        <v>5.915</v>
      </c>
      <c r="O99" s="20">
        <v>317</v>
      </c>
      <c r="P99" s="19">
        <f>N99*(O99/1000)</f>
        <v>1.8750550000000001</v>
      </c>
      <c r="Q99" s="24" t="s">
        <v>120</v>
      </c>
    </row>
    <row r="100" spans="1:17" ht="30" x14ac:dyDescent="0.25">
      <c r="A100" s="25">
        <v>85</v>
      </c>
      <c r="B100" s="34" t="s">
        <v>22</v>
      </c>
      <c r="C100" s="35" t="s">
        <v>118</v>
      </c>
      <c r="D100" s="28">
        <v>48.1</v>
      </c>
      <c r="E100" s="29">
        <v>310.3</v>
      </c>
      <c r="F100" s="30">
        <f>AVERAGE(79.16838896,77.78503739)</f>
        <v>78.476713175</v>
      </c>
      <c r="G100" s="31">
        <f>STDEV(79.16838896,77.78503739)</f>
        <v>0.9781772759120585</v>
      </c>
      <c r="H100" s="30">
        <v>0.51716432593333328</v>
      </c>
      <c r="I100" s="31">
        <v>0.18950725267268456</v>
      </c>
      <c r="J100" s="30">
        <v>67.428571428571431</v>
      </c>
      <c r="K100" s="31">
        <v>23.040595643755559</v>
      </c>
      <c r="L100" s="30">
        <v>-0.17</v>
      </c>
      <c r="M100" s="31">
        <v>1.1525695107028846</v>
      </c>
      <c r="N100" s="30">
        <v>5.915</v>
      </c>
      <c r="O100" s="32">
        <v>317</v>
      </c>
      <c r="P100" s="31">
        <f>N100*(O100/1000)</f>
        <v>1.8750550000000001</v>
      </c>
      <c r="Q100" s="33" t="s">
        <v>121</v>
      </c>
    </row>
    <row r="101" spans="1:17" ht="45" x14ac:dyDescent="0.25">
      <c r="A101" s="54">
        <v>86</v>
      </c>
      <c r="B101" s="55" t="s">
        <v>22</v>
      </c>
      <c r="C101" s="56" t="s">
        <v>23</v>
      </c>
      <c r="D101" s="57">
        <v>36.700000000000003</v>
      </c>
      <c r="E101" s="17">
        <v>319.60000000000002</v>
      </c>
      <c r="F101" s="58">
        <f>AVERAGE(8.362605658,8.530875144)</f>
        <v>8.4467404009999996</v>
      </c>
      <c r="G101" s="59">
        <f>STDEV(8.362605658,8.530875144)</f>
        <v>0.11898449461737468</v>
      </c>
      <c r="H101" s="58">
        <v>0.47280380599999999</v>
      </c>
      <c r="I101" s="59">
        <v>6.057759137527971E-2</v>
      </c>
      <c r="J101" s="58">
        <v>53.666666666666664</v>
      </c>
      <c r="K101" s="59">
        <v>8.621678104251691</v>
      </c>
      <c r="L101" s="58">
        <v>-1.4</v>
      </c>
      <c r="M101" s="59">
        <v>1.1449429191870766</v>
      </c>
      <c r="N101" s="58" t="s">
        <v>24</v>
      </c>
      <c r="O101" s="60" t="s">
        <v>24</v>
      </c>
      <c r="P101" s="59" t="s">
        <v>24</v>
      </c>
      <c r="Q101" s="61" t="s">
        <v>122</v>
      </c>
    </row>
    <row r="102" spans="1:17" x14ac:dyDescent="0.25">
      <c r="A102" s="62"/>
      <c r="B102" s="63"/>
      <c r="C102" s="64"/>
      <c r="D102" s="65"/>
      <c r="E102" s="72"/>
      <c r="F102" s="66"/>
      <c r="G102" s="67"/>
      <c r="H102" s="66"/>
      <c r="I102" s="67"/>
      <c r="J102" s="66"/>
      <c r="K102" s="67"/>
      <c r="L102" s="66"/>
      <c r="M102" s="67"/>
      <c r="N102" s="66"/>
      <c r="O102" s="68"/>
      <c r="P102" s="67"/>
      <c r="Q102" s="69"/>
    </row>
    <row r="103" spans="1:17" x14ac:dyDescent="0.25">
      <c r="A103" s="77" t="s">
        <v>1</v>
      </c>
      <c r="B103" s="79" t="s">
        <v>2</v>
      </c>
      <c r="C103" s="81" t="s">
        <v>3</v>
      </c>
      <c r="D103" s="77" t="s">
        <v>4</v>
      </c>
      <c r="E103" s="81" t="s">
        <v>5</v>
      </c>
      <c r="F103" s="5" t="s">
        <v>6</v>
      </c>
      <c r="G103" s="7" t="s">
        <v>7</v>
      </c>
      <c r="H103" s="5" t="s">
        <v>8</v>
      </c>
      <c r="I103" s="7" t="s">
        <v>9</v>
      </c>
      <c r="J103" s="5" t="s">
        <v>10</v>
      </c>
      <c r="K103" s="7" t="s">
        <v>9</v>
      </c>
      <c r="L103" s="5" t="s">
        <v>11</v>
      </c>
      <c r="M103" s="8" t="s">
        <v>12</v>
      </c>
      <c r="N103" s="5" t="s">
        <v>13</v>
      </c>
      <c r="O103" s="6" t="s">
        <v>14</v>
      </c>
      <c r="P103" s="7" t="s">
        <v>15</v>
      </c>
      <c r="Q103" s="75" t="s">
        <v>16</v>
      </c>
    </row>
    <row r="104" spans="1:17" ht="18" x14ac:dyDescent="0.25">
      <c r="A104" s="78"/>
      <c r="B104" s="80"/>
      <c r="C104" s="82"/>
      <c r="D104" s="78"/>
      <c r="E104" s="82"/>
      <c r="F104" s="9" t="s">
        <v>17</v>
      </c>
      <c r="G104" s="11" t="s">
        <v>17</v>
      </c>
      <c r="H104" s="9" t="s">
        <v>17</v>
      </c>
      <c r="I104" s="11" t="s">
        <v>17</v>
      </c>
      <c r="J104" s="9" t="s">
        <v>18</v>
      </c>
      <c r="K104" s="11" t="s">
        <v>18</v>
      </c>
      <c r="L104" s="9" t="s">
        <v>19</v>
      </c>
      <c r="M104" s="12"/>
      <c r="N104" s="9" t="s">
        <v>20</v>
      </c>
      <c r="O104" s="10" t="s">
        <v>18</v>
      </c>
      <c r="P104" s="11" t="s">
        <v>21</v>
      </c>
      <c r="Q104" s="76"/>
    </row>
    <row r="105" spans="1:17" ht="45" x14ac:dyDescent="0.25">
      <c r="A105" s="13">
        <v>87</v>
      </c>
      <c r="B105" s="14" t="s">
        <v>22</v>
      </c>
      <c r="C105" s="15" t="s">
        <v>23</v>
      </c>
      <c r="D105" s="16">
        <v>46.5</v>
      </c>
      <c r="E105" s="17">
        <v>318.7</v>
      </c>
      <c r="F105" s="18">
        <f>AVERAGE(40.22239258,50.64784289)</f>
        <v>45.435117734999999</v>
      </c>
      <c r="G105" s="19">
        <f>STDEV(40.22239258,50.64784289)</f>
        <v>7.3719066111243929</v>
      </c>
      <c r="H105" s="18">
        <v>3.4214083691666661</v>
      </c>
      <c r="I105" s="19">
        <v>0.70040764837636449</v>
      </c>
      <c r="J105" s="18">
        <v>513</v>
      </c>
      <c r="K105" s="19">
        <v>100</v>
      </c>
      <c r="L105" s="18">
        <v>-0.97</v>
      </c>
      <c r="M105" s="19">
        <v>1.289937575717379</v>
      </c>
      <c r="N105" s="18" t="s">
        <v>24</v>
      </c>
      <c r="O105" s="20" t="s">
        <v>24</v>
      </c>
      <c r="P105" s="19" t="s">
        <v>24</v>
      </c>
      <c r="Q105" s="24" t="s">
        <v>123</v>
      </c>
    </row>
    <row r="106" spans="1:17" ht="30" x14ac:dyDescent="0.25">
      <c r="A106" s="25">
        <v>88</v>
      </c>
      <c r="B106" s="34" t="s">
        <v>22</v>
      </c>
      <c r="C106" s="27" t="s">
        <v>23</v>
      </c>
      <c r="D106" s="28">
        <v>47.8</v>
      </c>
      <c r="E106" s="29">
        <v>300.2</v>
      </c>
      <c r="F106" s="30">
        <f>AVERAGE(22.82456112,27.00209621)</f>
        <v>24.913328665000002</v>
      </c>
      <c r="G106" s="31">
        <f>STDEV(22.82456112,27.00209621)</f>
        <v>2.9539633907837559</v>
      </c>
      <c r="H106" s="30">
        <v>0.47461259128571431</v>
      </c>
      <c r="I106" s="31">
        <v>0.13977352503695922</v>
      </c>
      <c r="J106" s="30">
        <v>25.2</v>
      </c>
      <c r="K106" s="31">
        <v>15.060710474609094</v>
      </c>
      <c r="L106" s="30">
        <v>-0.05</v>
      </c>
      <c r="M106" s="31">
        <v>1.1833060275125324</v>
      </c>
      <c r="N106" s="30" t="s">
        <v>24</v>
      </c>
      <c r="O106" s="32" t="s">
        <v>24</v>
      </c>
      <c r="P106" s="31" t="s">
        <v>24</v>
      </c>
      <c r="Q106" s="33" t="s">
        <v>124</v>
      </c>
    </row>
    <row r="107" spans="1:17" ht="45" x14ac:dyDescent="0.25">
      <c r="A107" s="13">
        <v>89</v>
      </c>
      <c r="B107" s="14" t="s">
        <v>22</v>
      </c>
      <c r="C107" s="15" t="s">
        <v>23</v>
      </c>
      <c r="D107" s="16">
        <v>48.5</v>
      </c>
      <c r="E107" s="17">
        <v>307.7</v>
      </c>
      <c r="F107" s="18">
        <f>AVERAGE(89.38445383, 90.43772845)</f>
        <v>89.911091139999996</v>
      </c>
      <c r="G107" s="19">
        <f>STDEV(89.38445383, 90.43772845)</f>
        <v>0.74477762625368138</v>
      </c>
      <c r="H107" s="18">
        <v>0.1804062005</v>
      </c>
      <c r="I107" s="19">
        <v>4.011772481907154E-2</v>
      </c>
      <c r="J107" s="18">
        <v>8.9250000000000007</v>
      </c>
      <c r="K107" s="19">
        <v>2.0001736035765614</v>
      </c>
      <c r="L107" s="18">
        <v>-0.15</v>
      </c>
      <c r="M107" s="19">
        <v>1.2070111188344401</v>
      </c>
      <c r="N107" s="18">
        <v>0.92530000000000001</v>
      </c>
      <c r="O107" s="20">
        <v>44</v>
      </c>
      <c r="P107" s="19">
        <f>N107*(O107/1000)</f>
        <v>4.0713199999999998E-2</v>
      </c>
      <c r="Q107" s="24" t="s">
        <v>125</v>
      </c>
    </row>
    <row r="108" spans="1:17" ht="30" x14ac:dyDescent="0.25">
      <c r="A108" s="25">
        <v>90</v>
      </c>
      <c r="B108" s="34" t="s">
        <v>22</v>
      </c>
      <c r="C108" s="27" t="s">
        <v>23</v>
      </c>
      <c r="D108" s="28">
        <v>49.9</v>
      </c>
      <c r="E108" s="29">
        <v>307.2</v>
      </c>
      <c r="F108" s="30">
        <f>AVERAGE(44.45749341,44.24541276)</f>
        <v>44.351453085000003</v>
      </c>
      <c r="G108" s="31">
        <f>STDEV(44.45749341,44.24541276)</f>
        <v>0.1499636657734488</v>
      </c>
      <c r="H108" s="30">
        <v>0.17572259788888886</v>
      </c>
      <c r="I108" s="31">
        <v>6.3034064945409141E-2</v>
      </c>
      <c r="J108" s="30">
        <v>6.458333333333333</v>
      </c>
      <c r="K108" s="31">
        <v>1.6764297380643987</v>
      </c>
      <c r="L108" s="30">
        <v>-0.05</v>
      </c>
      <c r="M108" s="31">
        <v>1.1636957949812494</v>
      </c>
      <c r="N108" s="30" t="s">
        <v>24</v>
      </c>
      <c r="O108" s="32" t="s">
        <v>24</v>
      </c>
      <c r="P108" s="31" t="s">
        <v>24</v>
      </c>
      <c r="Q108" s="33" t="s">
        <v>126</v>
      </c>
    </row>
    <row r="109" spans="1:17" x14ac:dyDescent="0.25">
      <c r="A109" s="13">
        <v>91</v>
      </c>
      <c r="B109" s="14" t="s">
        <v>22</v>
      </c>
      <c r="C109" s="15" t="s">
        <v>23</v>
      </c>
      <c r="D109" s="16">
        <v>54.9</v>
      </c>
      <c r="E109" s="17">
        <v>322.60000000000002</v>
      </c>
      <c r="F109" s="18">
        <f>AVERAGE(10.10924882,10.07907873)</f>
        <v>10.094163775</v>
      </c>
      <c r="G109" s="19">
        <f>STDEV(10.10924882,10.07907873)</f>
        <v>2.1333475228007451E-2</v>
      </c>
      <c r="H109" s="18">
        <v>0.50095384749999994</v>
      </c>
      <c r="I109" s="19">
        <v>0.10202760302264309</v>
      </c>
      <c r="J109" s="18">
        <v>22.333333333333332</v>
      </c>
      <c r="K109" s="19">
        <v>12.887332281482207</v>
      </c>
      <c r="L109" s="18">
        <v>-0.05</v>
      </c>
      <c r="M109" s="19">
        <v>1.0701839960968667</v>
      </c>
      <c r="N109" s="18" t="s">
        <v>24</v>
      </c>
      <c r="O109" s="20" t="s">
        <v>24</v>
      </c>
      <c r="P109" s="19" t="s">
        <v>24</v>
      </c>
      <c r="Q109" s="24" t="s">
        <v>127</v>
      </c>
    </row>
    <row r="110" spans="1:17" x14ac:dyDescent="0.25">
      <c r="A110" s="25">
        <v>92</v>
      </c>
      <c r="B110" s="34" t="s">
        <v>128</v>
      </c>
      <c r="C110" s="27" t="s">
        <v>23</v>
      </c>
      <c r="D110" s="28">
        <v>14.2</v>
      </c>
      <c r="E110" s="29">
        <v>329.2</v>
      </c>
      <c r="F110" s="30">
        <f>AVERAGE(77.20426147,75.6734602)</f>
        <v>76.438860835</v>
      </c>
      <c r="G110" s="31">
        <f>STDEV(77.20426147,75.6734602)</f>
        <v>1.0824399586659876</v>
      </c>
      <c r="H110" s="30">
        <v>0.40129842685000006</v>
      </c>
      <c r="I110" s="31">
        <v>6.5208232577413705E-2</v>
      </c>
      <c r="J110" s="30">
        <v>32.954545454545453</v>
      </c>
      <c r="K110" s="31">
        <v>3.6087016048334069</v>
      </c>
      <c r="L110" s="30">
        <v>0.01</v>
      </c>
      <c r="M110" s="31">
        <v>1.2469525114526554</v>
      </c>
      <c r="N110" s="30">
        <v>32.3919</v>
      </c>
      <c r="O110" s="32">
        <v>123.2</v>
      </c>
      <c r="P110" s="31">
        <f>N110*(O110/1000)</f>
        <v>3.99068208</v>
      </c>
      <c r="Q110" s="33" t="s">
        <v>129</v>
      </c>
    </row>
    <row r="111" spans="1:17" x14ac:dyDescent="0.25">
      <c r="A111" s="13">
        <v>93</v>
      </c>
      <c r="B111" s="14" t="s">
        <v>128</v>
      </c>
      <c r="C111" s="15" t="s">
        <v>23</v>
      </c>
      <c r="D111" s="16">
        <v>17</v>
      </c>
      <c r="E111" s="17">
        <v>335.9</v>
      </c>
      <c r="F111" s="18">
        <f>AVERAGE(178.2131411,176.5805739)</f>
        <v>177.39685750000001</v>
      </c>
      <c r="G111" s="19">
        <f>STDEV(178.2131411,176.5805739)</f>
        <v>1.1543993378627424</v>
      </c>
      <c r="H111" s="18">
        <v>0.46586978383333333</v>
      </c>
      <c r="I111" s="19">
        <v>5.8612568152411802E-2</v>
      </c>
      <c r="J111" s="18">
        <v>58.545454545454547</v>
      </c>
      <c r="K111" s="19">
        <v>29.353716845413164</v>
      </c>
      <c r="L111" s="18">
        <v>-0.11</v>
      </c>
      <c r="M111" s="19">
        <v>1.1593616779533069</v>
      </c>
      <c r="N111" s="18" t="s">
        <v>24</v>
      </c>
      <c r="O111" s="20" t="s">
        <v>24</v>
      </c>
      <c r="P111" s="19" t="s">
        <v>24</v>
      </c>
      <c r="Q111" s="24" t="s">
        <v>130</v>
      </c>
    </row>
    <row r="112" spans="1:17" ht="45" customHeight="1" x14ac:dyDescent="0.25">
      <c r="A112" s="25">
        <v>94</v>
      </c>
      <c r="B112" s="34" t="s">
        <v>128</v>
      </c>
      <c r="C112" s="27" t="s">
        <v>23</v>
      </c>
      <c r="D112" s="28">
        <v>17.100000000000001</v>
      </c>
      <c r="E112" s="29">
        <v>349.1</v>
      </c>
      <c r="F112" s="30">
        <f>AVERAGE(73.75760548,73.00614916)</f>
        <v>73.381877320000001</v>
      </c>
      <c r="G112" s="31">
        <f>STDEV(73.75760548,73.00614916)</f>
        <v>0.53135985963748</v>
      </c>
      <c r="H112" s="30">
        <v>0.47611713706250003</v>
      </c>
      <c r="I112" s="31">
        <v>0.130955604177066</v>
      </c>
      <c r="J112" s="30">
        <v>75.833333333333329</v>
      </c>
      <c r="K112" s="31">
        <v>17.394922630852196</v>
      </c>
      <c r="L112" s="30">
        <v>-0.17</v>
      </c>
      <c r="M112" s="31">
        <v>1.1315116674226124</v>
      </c>
      <c r="N112" s="30" t="s">
        <v>24</v>
      </c>
      <c r="O112" s="32" t="s">
        <v>24</v>
      </c>
      <c r="P112" s="31" t="s">
        <v>24</v>
      </c>
      <c r="Q112" s="33" t="s">
        <v>131</v>
      </c>
    </row>
    <row r="113" spans="1:17" x14ac:dyDescent="0.25">
      <c r="A113" s="13">
        <v>95</v>
      </c>
      <c r="B113" s="14" t="s">
        <v>128</v>
      </c>
      <c r="C113" s="15" t="s">
        <v>23</v>
      </c>
      <c r="D113" s="16">
        <v>17.600000000000001</v>
      </c>
      <c r="E113" s="17">
        <v>336.1</v>
      </c>
      <c r="F113" s="18">
        <f>AVERAGE(55.69212366,55.83299715)</f>
        <v>55.762560405000002</v>
      </c>
      <c r="G113" s="19">
        <f>STDEV(55.69212366,55.83299715)</f>
        <v>9.9612600068413201E-2</v>
      </c>
      <c r="H113" s="18">
        <v>0.44610105757142854</v>
      </c>
      <c r="I113" s="19">
        <v>9.3820128196718047E-2</v>
      </c>
      <c r="J113" s="18">
        <v>29.75</v>
      </c>
      <c r="K113" s="19">
        <v>5.634713834792322</v>
      </c>
      <c r="L113" s="18">
        <v>-0.06</v>
      </c>
      <c r="M113" s="19">
        <v>1.1766774760603751</v>
      </c>
      <c r="N113" s="18" t="s">
        <v>24</v>
      </c>
      <c r="O113" s="20" t="s">
        <v>24</v>
      </c>
      <c r="P113" s="19" t="s">
        <v>24</v>
      </c>
      <c r="Q113" s="24" t="s">
        <v>132</v>
      </c>
    </row>
    <row r="114" spans="1:17" ht="30" x14ac:dyDescent="0.25">
      <c r="A114" s="25">
        <v>96</v>
      </c>
      <c r="B114" s="34" t="s">
        <v>128</v>
      </c>
      <c r="C114" s="27" t="s">
        <v>23</v>
      </c>
      <c r="D114" s="28">
        <v>17.600000000000001</v>
      </c>
      <c r="E114" s="29">
        <v>351.4</v>
      </c>
      <c r="F114" s="30">
        <f>AVERAGE(131.2069084,137.2130686)</f>
        <v>134.20998850000001</v>
      </c>
      <c r="G114" s="31">
        <f>STDEV(131.2069084,137.2130686)</f>
        <v>4.2469966063127584</v>
      </c>
      <c r="H114" s="30">
        <v>0.3367949070526316</v>
      </c>
      <c r="I114" s="31">
        <v>6.9736776746675319E-2</v>
      </c>
      <c r="J114" s="30">
        <v>27.73076923076923</v>
      </c>
      <c r="K114" s="31">
        <v>12.965684492496887</v>
      </c>
      <c r="L114" s="30">
        <v>-0.11</v>
      </c>
      <c r="M114" s="31">
        <v>1.2179350517533554</v>
      </c>
      <c r="N114" s="30">
        <v>7.4024190000000001</v>
      </c>
      <c r="O114" s="32">
        <v>137</v>
      </c>
      <c r="P114" s="31">
        <f>N114*(O114/1000)</f>
        <v>1.0141314030000002</v>
      </c>
      <c r="Q114" s="33" t="s">
        <v>133</v>
      </c>
    </row>
    <row r="115" spans="1:17" ht="45" x14ac:dyDescent="0.25">
      <c r="A115" s="13">
        <v>97</v>
      </c>
      <c r="B115" s="14" t="s">
        <v>128</v>
      </c>
      <c r="C115" s="15" t="s">
        <v>23</v>
      </c>
      <c r="D115" s="16">
        <v>18.7</v>
      </c>
      <c r="E115" s="17">
        <v>352.4</v>
      </c>
      <c r="F115" s="18">
        <f>AVERAGE(28.31231676,32.306885)</f>
        <v>30.309600880000001</v>
      </c>
      <c r="G115" s="19">
        <f>STDEV(28.31231676,32.306885)</f>
        <v>2.8245862904164118</v>
      </c>
      <c r="H115" s="18">
        <v>0.76837664819999996</v>
      </c>
      <c r="I115" s="19">
        <v>0.18408294061054825</v>
      </c>
      <c r="J115" s="18">
        <v>29.625</v>
      </c>
      <c r="K115" s="19">
        <v>11.440971695329612</v>
      </c>
      <c r="L115" s="18">
        <v>-7.0000000000000007E-2</v>
      </c>
      <c r="M115" s="19">
        <v>1.2947728674465222</v>
      </c>
      <c r="N115" s="18" t="s">
        <v>24</v>
      </c>
      <c r="O115" s="20" t="s">
        <v>24</v>
      </c>
      <c r="P115" s="19" t="s">
        <v>24</v>
      </c>
      <c r="Q115" s="24" t="s">
        <v>134</v>
      </c>
    </row>
    <row r="116" spans="1:17" x14ac:dyDescent="0.25">
      <c r="A116" s="25">
        <v>98</v>
      </c>
      <c r="B116" s="26" t="s">
        <v>128</v>
      </c>
      <c r="C116" s="27" t="s">
        <v>23</v>
      </c>
      <c r="D116" s="28">
        <v>19.3</v>
      </c>
      <c r="E116" s="29">
        <v>1.4</v>
      </c>
      <c r="F116" s="30">
        <f>AVERAGE(46.16162037,39.88143692)</f>
        <v>43.021528645000004</v>
      </c>
      <c r="G116" s="31">
        <f>STDEV(46.16162037,39.88143692)</f>
        <v>4.4407603045905288</v>
      </c>
      <c r="H116" s="30">
        <v>1.7244513417999998</v>
      </c>
      <c r="I116" s="31">
        <v>0.45313321235331727</v>
      </c>
      <c r="J116" s="30">
        <v>207.5</v>
      </c>
      <c r="K116" s="31">
        <v>57.30881258584931</v>
      </c>
      <c r="L116" s="30">
        <v>-0.22</v>
      </c>
      <c r="M116" s="31">
        <v>1.3025960747766816</v>
      </c>
      <c r="N116" s="30">
        <v>50.343606999999999</v>
      </c>
      <c r="O116" s="32">
        <v>169.3571</v>
      </c>
      <c r="P116" s="31">
        <f>N116*(O116/1000)</f>
        <v>8.5260472850597004</v>
      </c>
      <c r="Q116" s="33" t="s">
        <v>135</v>
      </c>
    </row>
    <row r="117" spans="1:17" ht="45" x14ac:dyDescent="0.25">
      <c r="A117" s="13">
        <v>99</v>
      </c>
      <c r="B117" s="14" t="s">
        <v>128</v>
      </c>
      <c r="C117" s="15" t="s">
        <v>23</v>
      </c>
      <c r="D117" s="16">
        <v>19.8</v>
      </c>
      <c r="E117" s="17">
        <v>352.5</v>
      </c>
      <c r="F117" s="18">
        <f>AVERAGE(10.05311074,10.87997815)</f>
        <v>10.466544445</v>
      </c>
      <c r="G117" s="19">
        <f>STDEV(10.05311074,10.87997815)</f>
        <v>0.58468355275315742</v>
      </c>
      <c r="H117" s="18">
        <v>0.6472395451428572</v>
      </c>
      <c r="I117" s="19">
        <v>0.1064988070884389</v>
      </c>
      <c r="J117" s="18">
        <v>17.625</v>
      </c>
      <c r="K117" s="19">
        <v>7.2958321435369289</v>
      </c>
      <c r="L117" s="18">
        <v>-7.0000000000000001E-3</v>
      </c>
      <c r="M117" s="19">
        <v>1.4205546434290988</v>
      </c>
      <c r="N117" s="18" t="s">
        <v>24</v>
      </c>
      <c r="O117" s="20" t="s">
        <v>24</v>
      </c>
      <c r="P117" s="19" t="s">
        <v>24</v>
      </c>
      <c r="Q117" s="24" t="s">
        <v>246</v>
      </c>
    </row>
    <row r="118" spans="1:17" ht="15" customHeight="1" x14ac:dyDescent="0.25">
      <c r="A118" s="25">
        <v>100</v>
      </c>
      <c r="B118" s="34" t="s">
        <v>128</v>
      </c>
      <c r="C118" s="27" t="s">
        <v>23</v>
      </c>
      <c r="D118" s="28">
        <v>20.2</v>
      </c>
      <c r="E118" s="29">
        <v>328.6</v>
      </c>
      <c r="F118" s="30">
        <f>AVERAGE(15.05367712,16.72929469)</f>
        <v>15.891485905</v>
      </c>
      <c r="G118" s="31">
        <f>STDEV(15.05367712,16.72929469)</f>
        <v>1.1848405464223246</v>
      </c>
      <c r="H118" s="30">
        <v>1.313232282</v>
      </c>
      <c r="I118" s="31">
        <v>0.17315523617898068</v>
      </c>
      <c r="J118" s="30">
        <v>39.5</v>
      </c>
      <c r="K118" s="31">
        <v>16.263455967290593</v>
      </c>
      <c r="L118" s="30">
        <v>-0.19</v>
      </c>
      <c r="M118" s="31">
        <v>1.131662573352072</v>
      </c>
      <c r="N118" s="30" t="s">
        <v>24</v>
      </c>
      <c r="O118" s="32" t="s">
        <v>24</v>
      </c>
      <c r="P118" s="31" t="s">
        <v>24</v>
      </c>
      <c r="Q118" s="33" t="s">
        <v>136</v>
      </c>
    </row>
    <row r="119" spans="1:17" ht="30" x14ac:dyDescent="0.25">
      <c r="A119" s="13">
        <v>101</v>
      </c>
      <c r="B119" s="14" t="s">
        <v>128</v>
      </c>
      <c r="C119" s="15" t="s">
        <v>23</v>
      </c>
      <c r="D119" s="16">
        <v>20.6</v>
      </c>
      <c r="E119" s="17">
        <v>329.4</v>
      </c>
      <c r="F119" s="18">
        <f>AVERAGE(13.28347658,15.07353618)</f>
        <v>14.17850638</v>
      </c>
      <c r="G119" s="19">
        <f>STDEV(13.28347658,15.07353618)</f>
        <v>1.2657632818880782</v>
      </c>
      <c r="H119" s="18">
        <v>1.1964705716666666</v>
      </c>
      <c r="I119" s="19">
        <v>0.33274302970542868</v>
      </c>
      <c r="J119" s="18">
        <v>103.16666666666667</v>
      </c>
      <c r="K119" s="19">
        <v>63.94203103853782</v>
      </c>
      <c r="L119" s="18">
        <v>-0.26</v>
      </c>
      <c r="M119" s="19">
        <v>1.197796863740656</v>
      </c>
      <c r="N119" s="18" t="s">
        <v>24</v>
      </c>
      <c r="O119" s="20" t="s">
        <v>24</v>
      </c>
      <c r="P119" s="19" t="s">
        <v>24</v>
      </c>
      <c r="Q119" s="24" t="s">
        <v>266</v>
      </c>
    </row>
    <row r="120" spans="1:17" ht="30" x14ac:dyDescent="0.25">
      <c r="A120" s="25">
        <v>102</v>
      </c>
      <c r="B120" s="34" t="s">
        <v>128</v>
      </c>
      <c r="C120" s="27" t="s">
        <v>23</v>
      </c>
      <c r="D120" s="28">
        <v>20.7</v>
      </c>
      <c r="E120" s="29">
        <v>324.2</v>
      </c>
      <c r="F120" s="30">
        <f>AVERAGE(54.66643092,53.18972821)</f>
        <v>53.928079565000004</v>
      </c>
      <c r="G120" s="31">
        <f>STDEV(54.66643092,53.18972821)</f>
        <v>1.0441865000375552</v>
      </c>
      <c r="H120" s="30">
        <v>0.46930052010000006</v>
      </c>
      <c r="I120" s="31">
        <v>0.18534477621518336</v>
      </c>
      <c r="J120" s="30">
        <v>52</v>
      </c>
      <c r="K120" s="31">
        <v>9.7339611669658925</v>
      </c>
      <c r="L120" s="30">
        <v>0.09</v>
      </c>
      <c r="M120" s="31">
        <v>1.0547955487228007</v>
      </c>
      <c r="N120" s="30" t="s">
        <v>24</v>
      </c>
      <c r="O120" s="32" t="s">
        <v>24</v>
      </c>
      <c r="P120" s="31" t="s">
        <v>24</v>
      </c>
      <c r="Q120" s="33" t="s">
        <v>137</v>
      </c>
    </row>
    <row r="121" spans="1:17" ht="15" customHeight="1" x14ac:dyDescent="0.25">
      <c r="A121" s="13">
        <v>103</v>
      </c>
      <c r="B121" s="14" t="s">
        <v>128</v>
      </c>
      <c r="C121" s="15" t="s">
        <v>23</v>
      </c>
      <c r="D121" s="16">
        <v>20.7</v>
      </c>
      <c r="E121" s="17">
        <v>356.5</v>
      </c>
      <c r="F121" s="18">
        <f>AVERAGE(34.80268821,35.46351454)</f>
        <v>35.133101374999995</v>
      </c>
      <c r="G121" s="19">
        <f>STDEV(34.80268821,35.46351454)</f>
        <v>0.46727477912961857</v>
      </c>
      <c r="H121" s="18">
        <v>0.2891341796666666</v>
      </c>
      <c r="I121" s="19">
        <v>4.6884381226552758E-2</v>
      </c>
      <c r="J121" s="18">
        <v>29.666666666666668</v>
      </c>
      <c r="K121" s="19">
        <v>2.0412414523193001</v>
      </c>
      <c r="L121" s="18">
        <v>-0.19</v>
      </c>
      <c r="M121" s="19">
        <v>1.1563322518363941</v>
      </c>
      <c r="N121" s="18">
        <v>0.70799999999999996</v>
      </c>
      <c r="O121" s="20" t="s">
        <v>24</v>
      </c>
      <c r="P121" s="19" t="s">
        <v>24</v>
      </c>
      <c r="Q121" s="24" t="s">
        <v>138</v>
      </c>
    </row>
    <row r="122" spans="1:17" x14ac:dyDescent="0.25">
      <c r="A122" s="25">
        <v>103</v>
      </c>
      <c r="B122" s="34" t="s">
        <v>128</v>
      </c>
      <c r="C122" s="27" t="s">
        <v>23</v>
      </c>
      <c r="D122" s="28">
        <v>20.7</v>
      </c>
      <c r="E122" s="29">
        <v>356.5</v>
      </c>
      <c r="F122" s="30">
        <f>AVERAGE(13.39084982,14.42568934)</f>
        <v>13.908269579999999</v>
      </c>
      <c r="G122" s="31">
        <f>STDEV(13.39084982,14.42568934)</f>
        <v>0.73174204203183202</v>
      </c>
      <c r="H122" s="30">
        <v>0.34192627140000004</v>
      </c>
      <c r="I122" s="31">
        <v>6.6867641493332103E-2</v>
      </c>
      <c r="J122" s="30">
        <v>29.166666666666668</v>
      </c>
      <c r="K122" s="31">
        <v>4.2524502740576819</v>
      </c>
      <c r="L122" s="30">
        <v>-0.56999999999999995</v>
      </c>
      <c r="M122" s="31">
        <v>1.0416659946985214</v>
      </c>
      <c r="N122" s="30">
        <v>0.70799999999999996</v>
      </c>
      <c r="O122" s="32" t="s">
        <v>24</v>
      </c>
      <c r="P122" s="31" t="s">
        <v>24</v>
      </c>
      <c r="Q122" s="33" t="s">
        <v>139</v>
      </c>
    </row>
    <row r="123" spans="1:17" x14ac:dyDescent="0.25">
      <c r="A123" s="13">
        <v>104</v>
      </c>
      <c r="B123" s="14" t="s">
        <v>128</v>
      </c>
      <c r="C123" s="15" t="s">
        <v>23</v>
      </c>
      <c r="D123" s="16">
        <v>20.9</v>
      </c>
      <c r="E123" s="17">
        <v>328.3</v>
      </c>
      <c r="F123" s="18">
        <f>AVERAGE(184.8609582,193.3082715)</f>
        <v>189.08461484999998</v>
      </c>
      <c r="G123" s="19">
        <f>STDEV(184.8609582,193.3082715)</f>
        <v>5.9731525172373061</v>
      </c>
      <c r="H123" s="18">
        <v>0.22889148799999992</v>
      </c>
      <c r="I123" s="19">
        <v>5.2702253383103463E-2</v>
      </c>
      <c r="J123" s="18">
        <v>20.261363636363637</v>
      </c>
      <c r="K123" s="19">
        <v>8.9211083528014772</v>
      </c>
      <c r="L123" s="18">
        <v>-0.08</v>
      </c>
      <c r="M123" s="19">
        <v>1.299469175193068</v>
      </c>
      <c r="N123" s="18" t="s">
        <v>24</v>
      </c>
      <c r="O123" s="20" t="s">
        <v>24</v>
      </c>
      <c r="P123" s="19" t="s">
        <v>24</v>
      </c>
      <c r="Q123" s="24" t="s">
        <v>140</v>
      </c>
    </row>
    <row r="124" spans="1:17" ht="45" x14ac:dyDescent="0.25">
      <c r="A124" s="25">
        <v>105</v>
      </c>
      <c r="B124" s="34" t="s">
        <v>128</v>
      </c>
      <c r="C124" s="27" t="s">
        <v>141</v>
      </c>
      <c r="D124" s="28">
        <v>21.1</v>
      </c>
      <c r="E124" s="29">
        <v>319.8</v>
      </c>
      <c r="F124" s="30">
        <f>AVERAGE(389.818447,384.4782558)</f>
        <v>387.14835140000002</v>
      </c>
      <c r="G124" s="31">
        <f>STDEV(389.818447,384.4782558)</f>
        <v>3.7760854103527213</v>
      </c>
      <c r="H124" s="30">
        <v>0.38244400297872344</v>
      </c>
      <c r="I124" s="31">
        <v>0.13955441539732194</v>
      </c>
      <c r="J124" s="30">
        <v>29.741935483870968</v>
      </c>
      <c r="K124" s="31">
        <v>11.227660017223782</v>
      </c>
      <c r="L124" s="30">
        <v>0.01</v>
      </c>
      <c r="M124" s="31">
        <v>1.1689914532764105</v>
      </c>
      <c r="N124" s="30" t="s">
        <v>24</v>
      </c>
      <c r="O124" s="32" t="s">
        <v>24</v>
      </c>
      <c r="P124" s="31" t="s">
        <v>24</v>
      </c>
      <c r="Q124" s="33" t="s">
        <v>250</v>
      </c>
    </row>
    <row r="125" spans="1:17" ht="60" x14ac:dyDescent="0.25">
      <c r="A125" s="13">
        <v>105</v>
      </c>
      <c r="B125" s="14" t="s">
        <v>128</v>
      </c>
      <c r="C125" s="15" t="s">
        <v>142</v>
      </c>
      <c r="D125" s="16">
        <v>21.1</v>
      </c>
      <c r="E125" s="17">
        <v>319.8</v>
      </c>
      <c r="F125" s="18">
        <f>AVERAGE(382.0619519,385.1323368)</f>
        <v>383.59714435000001</v>
      </c>
      <c r="G125" s="19">
        <f>STDEV(382.0619519,385.1323368)</f>
        <v>2.171089983642795</v>
      </c>
      <c r="H125" s="18">
        <v>0.35260064539215707</v>
      </c>
      <c r="I125" s="19">
        <v>0.1482178673906108</v>
      </c>
      <c r="J125" s="18">
        <v>26.548387096774192</v>
      </c>
      <c r="K125" s="19">
        <v>12.025046665681922</v>
      </c>
      <c r="L125" s="18">
        <v>0.01</v>
      </c>
      <c r="M125" s="19">
        <v>1.1689914532764105</v>
      </c>
      <c r="N125" s="18" t="s">
        <v>24</v>
      </c>
      <c r="O125" s="20" t="s">
        <v>24</v>
      </c>
      <c r="P125" s="19" t="s">
        <v>24</v>
      </c>
      <c r="Q125" s="24" t="s">
        <v>143</v>
      </c>
    </row>
    <row r="126" spans="1:17" x14ac:dyDescent="0.25">
      <c r="A126" s="25">
        <v>106</v>
      </c>
      <c r="B126" s="34" t="s">
        <v>128</v>
      </c>
      <c r="C126" s="27" t="s">
        <v>23</v>
      </c>
      <c r="D126" s="28">
        <v>21.9</v>
      </c>
      <c r="E126" s="29">
        <v>356.1</v>
      </c>
      <c r="F126" s="30">
        <f>AVERAGE(5.146610361,4.851634514)</f>
        <v>4.9991224374999996</v>
      </c>
      <c r="G126" s="31">
        <f>STDEV(5.146610361,4.851634514)</f>
        <v>0.20857942169994545</v>
      </c>
      <c r="H126" s="30">
        <v>0.29423819560000003</v>
      </c>
      <c r="I126" s="31">
        <v>1.3895627556986527E-2</v>
      </c>
      <c r="J126" s="30" t="s">
        <v>24</v>
      </c>
      <c r="K126" s="31" t="s">
        <v>24</v>
      </c>
      <c r="L126" s="30">
        <v>-0.57999999999999996</v>
      </c>
      <c r="M126" s="31">
        <v>1.1435596423459988</v>
      </c>
      <c r="N126" s="30" t="s">
        <v>24</v>
      </c>
      <c r="O126" s="32" t="s">
        <v>24</v>
      </c>
      <c r="P126" s="31" t="s">
        <v>24</v>
      </c>
      <c r="Q126" s="33" t="s">
        <v>144</v>
      </c>
    </row>
    <row r="127" spans="1:17" ht="30" x14ac:dyDescent="0.25">
      <c r="A127" s="13">
        <v>107</v>
      </c>
      <c r="B127" s="14" t="s">
        <v>128</v>
      </c>
      <c r="C127" s="15" t="s">
        <v>23</v>
      </c>
      <c r="D127" s="16">
        <v>22.1</v>
      </c>
      <c r="E127" s="17">
        <v>351.2</v>
      </c>
      <c r="F127" s="18">
        <f>AVERAGE(88.19085869,83.66860504)</f>
        <v>85.929731865000008</v>
      </c>
      <c r="G127" s="19">
        <f>STDEV(88.19085869,83.66860504)</f>
        <v>3.1977162221606132</v>
      </c>
      <c r="H127" s="18">
        <v>0.30254128282352938</v>
      </c>
      <c r="I127" s="19">
        <v>3.5567374855817249E-2</v>
      </c>
      <c r="J127" s="18">
        <v>14.083333333333334</v>
      </c>
      <c r="K127" s="19">
        <v>4.2120857857677416</v>
      </c>
      <c r="L127" s="18">
        <v>-0.18</v>
      </c>
      <c r="M127" s="19">
        <v>1.1648798423032183</v>
      </c>
      <c r="N127" s="18" t="s">
        <v>24</v>
      </c>
      <c r="O127" s="20" t="s">
        <v>24</v>
      </c>
      <c r="P127" s="19" t="s">
        <v>24</v>
      </c>
      <c r="Q127" s="24" t="s">
        <v>145</v>
      </c>
    </row>
    <row r="128" spans="1:17" x14ac:dyDescent="0.25">
      <c r="A128" s="25">
        <v>108</v>
      </c>
      <c r="B128" s="34" t="s">
        <v>128</v>
      </c>
      <c r="C128" s="27" t="s">
        <v>23</v>
      </c>
      <c r="D128" s="28">
        <v>23.4</v>
      </c>
      <c r="E128" s="29">
        <v>325.2</v>
      </c>
      <c r="F128" s="30">
        <f>AVERAGE(15.70531425,16.92804675)</f>
        <v>16.3166805</v>
      </c>
      <c r="G128" s="31">
        <f>STDEV(15.70531425,16.92804675)</f>
        <v>0.86460244232717975</v>
      </c>
      <c r="H128" s="30">
        <v>0.34961948483333327</v>
      </c>
      <c r="I128" s="31">
        <v>7.2839637576471411E-2</v>
      </c>
      <c r="J128" s="30">
        <v>12.75</v>
      </c>
      <c r="K128" s="31">
        <v>2.6100766272276377</v>
      </c>
      <c r="L128" s="30">
        <v>0.23</v>
      </c>
      <c r="M128" s="31">
        <v>1.1462163570394226</v>
      </c>
      <c r="N128" s="30" t="s">
        <v>24</v>
      </c>
      <c r="O128" s="32" t="s">
        <v>24</v>
      </c>
      <c r="P128" s="31" t="s">
        <v>24</v>
      </c>
      <c r="Q128" s="33" t="s">
        <v>146</v>
      </c>
    </row>
    <row r="129" spans="1:17" ht="30" x14ac:dyDescent="0.25">
      <c r="A129" s="13">
        <v>109</v>
      </c>
      <c r="B129" s="14" t="s">
        <v>128</v>
      </c>
      <c r="C129" s="15" t="s">
        <v>23</v>
      </c>
      <c r="D129" s="16">
        <v>23.5</v>
      </c>
      <c r="E129" s="17">
        <v>328.7</v>
      </c>
      <c r="F129" s="18">
        <f>AVERAGE(35.06533359,33.96284881)</f>
        <v>34.514091199999996</v>
      </c>
      <c r="G129" s="19">
        <f>STDEV(35.06533359,33.96284881)</f>
        <v>0.77957446409296227</v>
      </c>
      <c r="H129" s="18" t="s">
        <v>147</v>
      </c>
      <c r="I129" s="19" t="s">
        <v>148</v>
      </c>
      <c r="J129" s="18" t="s">
        <v>242</v>
      </c>
      <c r="K129" s="19" t="s">
        <v>241</v>
      </c>
      <c r="L129" s="18">
        <v>0.01</v>
      </c>
      <c r="M129" s="19">
        <v>1.0789949717419687</v>
      </c>
      <c r="N129" s="18" t="s">
        <v>24</v>
      </c>
      <c r="O129" s="20" t="s">
        <v>24</v>
      </c>
      <c r="P129" s="19" t="s">
        <v>24</v>
      </c>
      <c r="Q129" s="24" t="s">
        <v>248</v>
      </c>
    </row>
    <row r="130" spans="1:17" ht="30" x14ac:dyDescent="0.25">
      <c r="A130" s="25" t="s">
        <v>249</v>
      </c>
      <c r="B130" s="34" t="s">
        <v>128</v>
      </c>
      <c r="C130" s="27" t="s">
        <v>23</v>
      </c>
      <c r="D130" s="28">
        <v>23.6</v>
      </c>
      <c r="E130" s="29">
        <v>328.6</v>
      </c>
      <c r="F130" s="30">
        <f>AVERAGE(18.05442409,17.25740198)</f>
        <v>17.655913035000001</v>
      </c>
      <c r="G130" s="31">
        <f>STDEV(18.05442409,17.25740198)</f>
        <v>0.56357973873661071</v>
      </c>
      <c r="H130" s="30" t="s">
        <v>147</v>
      </c>
      <c r="I130" s="31" t="s">
        <v>148</v>
      </c>
      <c r="J130" s="30" t="s">
        <v>242</v>
      </c>
      <c r="K130" s="31" t="s">
        <v>241</v>
      </c>
      <c r="L130" s="30">
        <v>-0.18</v>
      </c>
      <c r="M130" s="31">
        <v>1.0523162271612065</v>
      </c>
      <c r="N130" s="30" t="s">
        <v>24</v>
      </c>
      <c r="O130" s="32" t="s">
        <v>24</v>
      </c>
      <c r="P130" s="31" t="s">
        <v>24</v>
      </c>
      <c r="Q130" s="33" t="s">
        <v>247</v>
      </c>
    </row>
    <row r="131" spans="1:17" x14ac:dyDescent="0.25">
      <c r="A131" s="13">
        <v>110</v>
      </c>
      <c r="B131" s="14" t="s">
        <v>128</v>
      </c>
      <c r="C131" s="15" t="s">
        <v>141</v>
      </c>
      <c r="D131" s="16">
        <v>23.6</v>
      </c>
      <c r="E131" s="17">
        <v>329.2</v>
      </c>
      <c r="F131" s="18">
        <f>AVERAGE(26.24784498,26.16324074)</f>
        <v>26.205542860000001</v>
      </c>
      <c r="G131" s="19">
        <f>STDEV(26.24784498,26.16324074)</f>
        <v>5.9824231821134777E-2</v>
      </c>
      <c r="H131" s="18">
        <v>0.38053024000000002</v>
      </c>
      <c r="I131" s="19">
        <v>0.23467139678218485</v>
      </c>
      <c r="J131" s="18">
        <v>11.3</v>
      </c>
      <c r="K131" s="19">
        <v>2.0493901531919168</v>
      </c>
      <c r="L131" s="18">
        <v>-0.12</v>
      </c>
      <c r="M131" s="19">
        <v>1.1819448589741561</v>
      </c>
      <c r="N131" s="18" t="s">
        <v>24</v>
      </c>
      <c r="O131" s="20" t="s">
        <v>24</v>
      </c>
      <c r="P131" s="19" t="s">
        <v>24</v>
      </c>
      <c r="Q131" s="24" t="s">
        <v>149</v>
      </c>
    </row>
    <row r="132" spans="1:17" x14ac:dyDescent="0.25">
      <c r="A132" s="25">
        <v>110</v>
      </c>
      <c r="B132" s="34" t="s">
        <v>128</v>
      </c>
      <c r="C132" s="27" t="s">
        <v>142</v>
      </c>
      <c r="D132" s="28">
        <v>23.6</v>
      </c>
      <c r="E132" s="29">
        <v>329.2</v>
      </c>
      <c r="F132" s="30">
        <f>AVERAGE(22.6181291,23.07953469)</f>
        <v>22.848831895</v>
      </c>
      <c r="G132" s="31">
        <f>STDEV(22.6181291,23.07953469)</f>
        <v>0.32626302156637865</v>
      </c>
      <c r="H132" s="30">
        <v>0.40145120069999995</v>
      </c>
      <c r="I132" s="31">
        <v>0.21861163001106285</v>
      </c>
      <c r="J132" s="30">
        <v>11.75</v>
      </c>
      <c r="K132" s="31">
        <v>2.0615528128088303</v>
      </c>
      <c r="L132" s="30">
        <v>-0.19</v>
      </c>
      <c r="M132" s="31">
        <v>1.1819448589741561</v>
      </c>
      <c r="N132" s="30" t="s">
        <v>24</v>
      </c>
      <c r="O132" s="32" t="s">
        <v>24</v>
      </c>
      <c r="P132" s="31" t="s">
        <v>24</v>
      </c>
      <c r="Q132" s="33" t="s">
        <v>150</v>
      </c>
    </row>
    <row r="133" spans="1:17" ht="30" x14ac:dyDescent="0.25">
      <c r="A133" s="13">
        <v>111</v>
      </c>
      <c r="B133" s="14" t="s">
        <v>128</v>
      </c>
      <c r="C133" s="15" t="s">
        <v>23</v>
      </c>
      <c r="D133" s="16">
        <v>23.7</v>
      </c>
      <c r="E133" s="17">
        <v>328.9</v>
      </c>
      <c r="F133" s="18">
        <f>AVERAGE(12.38598841,13.49404071)</f>
        <v>12.94001456</v>
      </c>
      <c r="G133" s="19">
        <f>STDEV(12.38598841,13.49404071)</f>
        <v>0.78351129523935126</v>
      </c>
      <c r="H133" s="18" t="s">
        <v>147</v>
      </c>
      <c r="I133" s="19" t="s">
        <v>148</v>
      </c>
      <c r="J133" s="18" t="s">
        <v>242</v>
      </c>
      <c r="K133" s="19" t="s">
        <v>241</v>
      </c>
      <c r="L133" s="18">
        <v>-0.22</v>
      </c>
      <c r="M133" s="19">
        <v>1.105440127437455</v>
      </c>
      <c r="N133" s="18" t="s">
        <v>24</v>
      </c>
      <c r="O133" s="20" t="s">
        <v>24</v>
      </c>
      <c r="P133" s="19" t="s">
        <v>24</v>
      </c>
      <c r="Q133" s="24" t="s">
        <v>151</v>
      </c>
    </row>
    <row r="134" spans="1:17" ht="30" x14ac:dyDescent="0.25">
      <c r="A134" s="25">
        <v>112</v>
      </c>
      <c r="B134" s="34" t="s">
        <v>128</v>
      </c>
      <c r="C134" s="27" t="s">
        <v>23</v>
      </c>
      <c r="D134" s="28">
        <v>24.7</v>
      </c>
      <c r="E134" s="29">
        <v>2.2999999999999998</v>
      </c>
      <c r="F134" s="30">
        <f>AVERAGE(139.9181267,148.4152626)</f>
        <v>144.16669465000001</v>
      </c>
      <c r="G134" s="31">
        <f>STDEV(139.9181267,148.4152626)</f>
        <v>6.0083824155536707</v>
      </c>
      <c r="H134" s="30">
        <v>1.20141898803846</v>
      </c>
      <c r="I134" s="31">
        <v>0.40519686943240812</v>
      </c>
      <c r="J134" s="30">
        <v>222.54545454545453</v>
      </c>
      <c r="K134" s="31">
        <v>111.66615946127624</v>
      </c>
      <c r="L134" s="30">
        <v>0.02</v>
      </c>
      <c r="M134" s="31">
        <v>1.2749612813053108</v>
      </c>
      <c r="N134" s="30">
        <v>61.957332999999998</v>
      </c>
      <c r="O134" s="32">
        <v>711.66666666666663</v>
      </c>
      <c r="P134" s="31">
        <f>N134*(O134/1000)</f>
        <v>44.092968651666666</v>
      </c>
      <c r="Q134" s="33" t="s">
        <v>152</v>
      </c>
    </row>
    <row r="135" spans="1:17" ht="30" x14ac:dyDescent="0.25">
      <c r="A135" s="13">
        <v>113</v>
      </c>
      <c r="B135" s="14" t="s">
        <v>128</v>
      </c>
      <c r="C135" s="15" t="s">
        <v>23</v>
      </c>
      <c r="D135" s="16">
        <v>25.3</v>
      </c>
      <c r="E135" s="17">
        <v>359.2</v>
      </c>
      <c r="F135" s="18">
        <f>AVERAGE(32.03293785,34.43482081)</f>
        <v>33.233879330000001</v>
      </c>
      <c r="G135" s="19">
        <f>STDEV(32.03293785,34.43482081)</f>
        <v>1.6983877286324134</v>
      </c>
      <c r="H135" s="18">
        <v>0.71602133833333337</v>
      </c>
      <c r="I135" s="19">
        <v>0.24639575344252751</v>
      </c>
      <c r="J135" s="18">
        <v>139.35</v>
      </c>
      <c r="K135" s="19">
        <v>26.113055483161407</v>
      </c>
      <c r="L135" s="18">
        <v>-0.37</v>
      </c>
      <c r="M135" s="19">
        <v>1.2099506207397794</v>
      </c>
      <c r="N135" s="18">
        <v>14.118228</v>
      </c>
      <c r="O135" s="20">
        <v>528.66666666666663</v>
      </c>
      <c r="P135" s="19">
        <f>N135*(O135/1000)</f>
        <v>7.4638365359999996</v>
      </c>
      <c r="Q135" s="24" t="s">
        <v>153</v>
      </c>
    </row>
    <row r="136" spans="1:17" ht="45" x14ac:dyDescent="0.25">
      <c r="A136" s="25">
        <v>114</v>
      </c>
      <c r="B136" s="34" t="s">
        <v>128</v>
      </c>
      <c r="C136" s="27" t="s">
        <v>141</v>
      </c>
      <c r="D136" s="28">
        <v>28.6</v>
      </c>
      <c r="E136" s="29">
        <v>324.3</v>
      </c>
      <c r="F136" s="30">
        <f>AVERAGE(217.2876222,226.4411124)</f>
        <v>221.8643673</v>
      </c>
      <c r="G136" s="31">
        <f>STDEV(217.2876222,226.4411124)</f>
        <v>6.4724949919446226</v>
      </c>
      <c r="H136" s="30">
        <v>0.46271260194117653</v>
      </c>
      <c r="I136" s="31">
        <v>0.14423691031739019</v>
      </c>
      <c r="J136" s="30">
        <v>41.625</v>
      </c>
      <c r="K136" s="31">
        <v>11.892363466675976</v>
      </c>
      <c r="L136" s="30">
        <v>-0.12</v>
      </c>
      <c r="M136" s="31">
        <v>1.3191341049545553</v>
      </c>
      <c r="N136" s="30">
        <v>7.8470000000000004</v>
      </c>
      <c r="O136" s="32" t="s">
        <v>24</v>
      </c>
      <c r="P136" s="31" t="s">
        <v>24</v>
      </c>
      <c r="Q136" s="33" t="s">
        <v>154</v>
      </c>
    </row>
    <row r="137" spans="1:17" x14ac:dyDescent="0.25">
      <c r="A137" s="36"/>
      <c r="B137" s="45"/>
      <c r="C137" s="38"/>
      <c r="D137" s="39"/>
      <c r="E137" s="40"/>
      <c r="F137" s="41"/>
      <c r="G137" s="42"/>
      <c r="H137" s="41"/>
      <c r="I137" s="42"/>
      <c r="J137" s="41"/>
      <c r="K137" s="42"/>
      <c r="L137" s="41"/>
      <c r="M137" s="42"/>
      <c r="N137" s="41"/>
      <c r="O137" s="43"/>
      <c r="P137" s="42"/>
      <c r="Q137" s="46"/>
    </row>
    <row r="138" spans="1:17" x14ac:dyDescent="0.25">
      <c r="A138" s="77" t="s">
        <v>1</v>
      </c>
      <c r="B138" s="79" t="s">
        <v>2</v>
      </c>
      <c r="C138" s="81" t="s">
        <v>3</v>
      </c>
      <c r="D138" s="77" t="s">
        <v>4</v>
      </c>
      <c r="E138" s="81" t="s">
        <v>5</v>
      </c>
      <c r="F138" s="5" t="s">
        <v>6</v>
      </c>
      <c r="G138" s="7" t="s">
        <v>7</v>
      </c>
      <c r="H138" s="5" t="s">
        <v>8</v>
      </c>
      <c r="I138" s="7" t="s">
        <v>9</v>
      </c>
      <c r="J138" s="5" t="s">
        <v>10</v>
      </c>
      <c r="K138" s="7" t="s">
        <v>9</v>
      </c>
      <c r="L138" s="5" t="s">
        <v>11</v>
      </c>
      <c r="M138" s="8" t="s">
        <v>12</v>
      </c>
      <c r="N138" s="5" t="s">
        <v>13</v>
      </c>
      <c r="O138" s="6" t="s">
        <v>14</v>
      </c>
      <c r="P138" s="7" t="s">
        <v>15</v>
      </c>
      <c r="Q138" s="75" t="s">
        <v>16</v>
      </c>
    </row>
    <row r="139" spans="1:17" ht="18" x14ac:dyDescent="0.25">
      <c r="A139" s="78"/>
      <c r="B139" s="80"/>
      <c r="C139" s="82"/>
      <c r="D139" s="78"/>
      <c r="E139" s="82"/>
      <c r="F139" s="9" t="s">
        <v>17</v>
      </c>
      <c r="G139" s="11" t="s">
        <v>17</v>
      </c>
      <c r="H139" s="9" t="s">
        <v>17</v>
      </c>
      <c r="I139" s="11" t="s">
        <v>17</v>
      </c>
      <c r="J139" s="9" t="s">
        <v>18</v>
      </c>
      <c r="K139" s="11" t="s">
        <v>18</v>
      </c>
      <c r="L139" s="9" t="s">
        <v>19</v>
      </c>
      <c r="M139" s="12"/>
      <c r="N139" s="9" t="s">
        <v>20</v>
      </c>
      <c r="O139" s="10" t="s">
        <v>18</v>
      </c>
      <c r="P139" s="11" t="s">
        <v>21</v>
      </c>
      <c r="Q139" s="76"/>
    </row>
    <row r="140" spans="1:17" ht="30" x14ac:dyDescent="0.25">
      <c r="A140" s="13">
        <v>114</v>
      </c>
      <c r="B140" s="14" t="s">
        <v>128</v>
      </c>
      <c r="C140" s="15" t="s">
        <v>142</v>
      </c>
      <c r="D140" s="16">
        <v>28.6</v>
      </c>
      <c r="E140" s="17">
        <v>324.3</v>
      </c>
      <c r="F140" s="18">
        <f>AVERAGE(228.5969518,218.9097908)</f>
        <v>223.7533713</v>
      </c>
      <c r="G140" s="19">
        <f>STDEV(228.5969518,218.9097908)</f>
        <v>6.8498572335458592</v>
      </c>
      <c r="H140" s="18" t="s">
        <v>24</v>
      </c>
      <c r="I140" s="19" t="s">
        <v>24</v>
      </c>
      <c r="J140" s="18" t="s">
        <v>24</v>
      </c>
      <c r="K140" s="19" t="s">
        <v>24</v>
      </c>
      <c r="L140" s="18">
        <v>-0.12</v>
      </c>
      <c r="M140" s="19">
        <v>1.3191341049545553</v>
      </c>
      <c r="N140" s="18" t="s">
        <v>24</v>
      </c>
      <c r="O140" s="20" t="s">
        <v>24</v>
      </c>
      <c r="P140" s="19" t="s">
        <v>24</v>
      </c>
      <c r="Q140" s="24" t="s">
        <v>155</v>
      </c>
    </row>
    <row r="141" spans="1:17" ht="15" customHeight="1" x14ac:dyDescent="0.25">
      <c r="A141" s="25">
        <v>115</v>
      </c>
      <c r="B141" s="34" t="s">
        <v>128</v>
      </c>
      <c r="C141" s="27" t="s">
        <v>23</v>
      </c>
      <c r="D141" s="28">
        <v>30.6</v>
      </c>
      <c r="E141" s="29">
        <v>327.10000000000002</v>
      </c>
      <c r="F141" s="30">
        <f>AVERAGE(62.28526887,63.28572964)</f>
        <v>62.785499255000005</v>
      </c>
      <c r="G141" s="31">
        <f>STDEV(62.28526887,63.28572964)</f>
        <v>0.70743259477811238</v>
      </c>
      <c r="H141" s="30">
        <v>0.39526487999999999</v>
      </c>
      <c r="I141" s="31">
        <v>7.4306274218233062E-2</v>
      </c>
      <c r="J141" s="30">
        <v>50.875</v>
      </c>
      <c r="K141" s="31">
        <v>34.134385156320015</v>
      </c>
      <c r="L141" s="30">
        <v>0.01</v>
      </c>
      <c r="M141" s="31">
        <v>1.1261156996291581</v>
      </c>
      <c r="N141" s="30">
        <v>16.099699999999999</v>
      </c>
      <c r="O141" s="32">
        <v>249.25</v>
      </c>
      <c r="P141" s="31">
        <f>N141*(O141/1000)</f>
        <v>4.0128502249999993</v>
      </c>
      <c r="Q141" s="33" t="s">
        <v>156</v>
      </c>
    </row>
    <row r="142" spans="1:17" x14ac:dyDescent="0.25">
      <c r="A142" s="13">
        <v>116</v>
      </c>
      <c r="B142" s="14" t="s">
        <v>128</v>
      </c>
      <c r="C142" s="15" t="s">
        <v>23</v>
      </c>
      <c r="D142" s="16">
        <v>31.7</v>
      </c>
      <c r="E142" s="17">
        <v>322.3</v>
      </c>
      <c r="F142" s="18">
        <f>AVERAGE(23.89779826,23.48970045)</f>
        <v>23.693749355000001</v>
      </c>
      <c r="G142" s="19">
        <f>STDEV(23.89779826,23.48970045)</f>
        <v>0.28856872883837742</v>
      </c>
      <c r="H142" s="18">
        <v>0.22612962720000002</v>
      </c>
      <c r="I142" s="19">
        <v>4.784903523740807E-2</v>
      </c>
      <c r="J142" s="18">
        <v>19.5625</v>
      </c>
      <c r="K142" s="19">
        <v>4.70980802864264</v>
      </c>
      <c r="L142" s="18">
        <v>-0.05</v>
      </c>
      <c r="M142" s="19">
        <v>1.3211882655532041</v>
      </c>
      <c r="N142" s="18">
        <v>0.54210000000000003</v>
      </c>
      <c r="O142" s="20" t="s">
        <v>24</v>
      </c>
      <c r="P142" s="19" t="s">
        <v>24</v>
      </c>
      <c r="Q142" s="24" t="s">
        <v>157</v>
      </c>
    </row>
    <row r="143" spans="1:17" x14ac:dyDescent="0.25">
      <c r="A143" s="25">
        <v>117</v>
      </c>
      <c r="B143" s="34" t="s">
        <v>128</v>
      </c>
      <c r="C143" s="27" t="s">
        <v>23</v>
      </c>
      <c r="D143" s="28">
        <v>32.299999999999997</v>
      </c>
      <c r="E143" s="29">
        <v>320.89999999999998</v>
      </c>
      <c r="F143" s="30">
        <f>AVERAGE(45.4162536,45.56128889)</f>
        <v>45.488771244999995</v>
      </c>
      <c r="G143" s="31">
        <f>STDEV(45.4162536,45.56128889)</f>
        <v>0.10255543707035937</v>
      </c>
      <c r="H143" s="30">
        <v>0.28518428777777777</v>
      </c>
      <c r="I143" s="31">
        <v>2.6161670386536204E-2</v>
      </c>
      <c r="J143" s="30">
        <v>16.785714285714285</v>
      </c>
      <c r="K143" s="31">
        <v>3.2029562237764906</v>
      </c>
      <c r="L143" s="30">
        <v>-0.04</v>
      </c>
      <c r="M143" s="31">
        <v>1.1665497466221537</v>
      </c>
      <c r="N143" s="30" t="s">
        <v>24</v>
      </c>
      <c r="O143" s="32" t="s">
        <v>24</v>
      </c>
      <c r="P143" s="31" t="s">
        <v>24</v>
      </c>
      <c r="Q143" s="33" t="s">
        <v>251</v>
      </c>
    </row>
    <row r="144" spans="1:17" ht="30" x14ac:dyDescent="0.25">
      <c r="A144" s="13">
        <v>118</v>
      </c>
      <c r="B144" s="14" t="s">
        <v>128</v>
      </c>
      <c r="C144" s="15" t="s">
        <v>23</v>
      </c>
      <c r="D144" s="16">
        <v>32.700000000000003</v>
      </c>
      <c r="E144" s="17">
        <v>321.2</v>
      </c>
      <c r="F144" s="18">
        <f>AVERAGE(31.73159787,33.33947473)</f>
        <v>32.535536300000004</v>
      </c>
      <c r="G144" s="19">
        <f>STDEV(31.73159787,33.33947473)</f>
        <v>1.1369406310189314</v>
      </c>
      <c r="H144" s="18">
        <v>0.35043640459999997</v>
      </c>
      <c r="I144" s="19">
        <v>6.0340847904147336E-2</v>
      </c>
      <c r="J144" s="18">
        <v>36.15</v>
      </c>
      <c r="K144" s="19">
        <v>8.096810071462297</v>
      </c>
      <c r="L144" s="18">
        <v>-0.11</v>
      </c>
      <c r="M144" s="19">
        <v>1.0993555330992701</v>
      </c>
      <c r="N144" s="18" t="s">
        <v>24</v>
      </c>
      <c r="O144" s="20" t="s">
        <v>24</v>
      </c>
      <c r="P144" s="19" t="s">
        <v>24</v>
      </c>
      <c r="Q144" s="24" t="s">
        <v>252</v>
      </c>
    </row>
    <row r="145" spans="1:17" x14ac:dyDescent="0.25">
      <c r="A145" s="25">
        <v>119</v>
      </c>
      <c r="B145" s="34" t="s">
        <v>128</v>
      </c>
      <c r="C145" s="27" t="s">
        <v>23</v>
      </c>
      <c r="D145" s="28">
        <v>32.700000000000003</v>
      </c>
      <c r="E145" s="29">
        <v>322</v>
      </c>
      <c r="F145" s="30">
        <f>AVERAGE(25.02188458,25.05038976)</f>
        <v>25.03613717</v>
      </c>
      <c r="G145" s="31">
        <f>STDEV(25.02188458,25.05038976)</f>
        <v>2.0156206076945519E-2</v>
      </c>
      <c r="H145" s="30">
        <v>0.33472786242857144</v>
      </c>
      <c r="I145" s="31">
        <v>0.12065322634427093</v>
      </c>
      <c r="J145" s="30">
        <v>34</v>
      </c>
      <c r="K145" s="31">
        <v>18.045082432618589</v>
      </c>
      <c r="L145" s="30">
        <v>-0.25</v>
      </c>
      <c r="M145" s="31">
        <v>1.1220384074797685</v>
      </c>
      <c r="N145" s="30">
        <v>1.8797999999999999</v>
      </c>
      <c r="O145" s="32">
        <v>130</v>
      </c>
      <c r="P145" s="31">
        <f>N145*(O145/1000)</f>
        <v>0.24437400000000001</v>
      </c>
      <c r="Q145" s="33" t="s">
        <v>254</v>
      </c>
    </row>
    <row r="146" spans="1:17" ht="30" x14ac:dyDescent="0.25">
      <c r="A146" s="13">
        <v>120</v>
      </c>
      <c r="B146" s="14" t="s">
        <v>128</v>
      </c>
      <c r="C146" s="15" t="s">
        <v>23</v>
      </c>
      <c r="D146" s="16">
        <v>33</v>
      </c>
      <c r="E146" s="17">
        <v>322.3</v>
      </c>
      <c r="F146" s="18">
        <f>AVERAGE(25.26751326,28.09247796)</f>
        <v>26.679995609999999</v>
      </c>
      <c r="G146" s="19">
        <f>STDEV(25.26751326,28.09247796)</f>
        <v>1.9975516959826201</v>
      </c>
      <c r="H146" s="18">
        <v>0.80234025557142852</v>
      </c>
      <c r="I146" s="19">
        <v>0.21433250317133937</v>
      </c>
      <c r="J146" s="18">
        <v>53.071428571428569</v>
      </c>
      <c r="K146" s="19">
        <v>19.829331328927385</v>
      </c>
      <c r="L146" s="18">
        <v>-0.28000000000000003</v>
      </c>
      <c r="M146" s="19">
        <v>1.2811367178199993</v>
      </c>
      <c r="N146" s="18">
        <v>5.5487000000000002</v>
      </c>
      <c r="O146" s="20">
        <v>173.75</v>
      </c>
      <c r="P146" s="19">
        <f>N146*(O146/1000)</f>
        <v>0.96408662499999997</v>
      </c>
      <c r="Q146" s="24" t="s">
        <v>253</v>
      </c>
    </row>
    <row r="147" spans="1:17" ht="30" x14ac:dyDescent="0.25">
      <c r="A147" s="25">
        <v>121</v>
      </c>
      <c r="B147" s="34" t="s">
        <v>128</v>
      </c>
      <c r="C147" s="27" t="s">
        <v>23</v>
      </c>
      <c r="D147" s="28">
        <v>34</v>
      </c>
      <c r="E147" s="29">
        <v>322.7</v>
      </c>
      <c r="F147" s="30">
        <f>AVERAGE(97.45326599,97.48813348)</f>
        <v>97.470699735000011</v>
      </c>
      <c r="G147" s="31">
        <f>STDEV(97.45326599,97.48813348)</f>
        <v>2.4655038621951546E-2</v>
      </c>
      <c r="H147" s="30">
        <v>0.38545949233333326</v>
      </c>
      <c r="I147" s="31">
        <v>0.12779308448049298</v>
      </c>
      <c r="J147" s="30">
        <v>21.115384615384617</v>
      </c>
      <c r="K147" s="31">
        <v>4.9703447489160046</v>
      </c>
      <c r="L147" s="30">
        <v>-0.04</v>
      </c>
      <c r="M147" s="31">
        <v>1.3348390121879539</v>
      </c>
      <c r="N147" s="30" t="s">
        <v>24</v>
      </c>
      <c r="O147" s="32" t="s">
        <v>24</v>
      </c>
      <c r="P147" s="31" t="s">
        <v>24</v>
      </c>
      <c r="Q147" s="33" t="s">
        <v>158</v>
      </c>
    </row>
    <row r="148" spans="1:17" ht="30" x14ac:dyDescent="0.25">
      <c r="A148" s="13">
        <v>122</v>
      </c>
      <c r="B148" s="14" t="s">
        <v>128</v>
      </c>
      <c r="C148" s="15" t="s">
        <v>23</v>
      </c>
      <c r="D148" s="16">
        <v>36.700000000000003</v>
      </c>
      <c r="E148" s="17">
        <v>324.8</v>
      </c>
      <c r="F148" s="18">
        <f>AVERAGE(44.25516979,46.12372542)</f>
        <v>45.189447604999998</v>
      </c>
      <c r="G148" s="19">
        <f>STDEV(44.25516979,46.12372542)</f>
        <v>1.3212683569973036</v>
      </c>
      <c r="H148" s="18">
        <v>0.3309454563571429</v>
      </c>
      <c r="I148" s="19">
        <v>9.3025435442067358E-2</v>
      </c>
      <c r="J148" s="18">
        <v>19.4375</v>
      </c>
      <c r="K148" s="19">
        <v>8.9719304340975423</v>
      </c>
      <c r="L148" s="18">
        <v>-0.18</v>
      </c>
      <c r="M148" s="19">
        <v>1.3051463554658644</v>
      </c>
      <c r="N148" s="18" t="s">
        <v>24</v>
      </c>
      <c r="O148" s="20" t="s">
        <v>24</v>
      </c>
      <c r="P148" s="19" t="s">
        <v>24</v>
      </c>
      <c r="Q148" s="24" t="s">
        <v>159</v>
      </c>
    </row>
    <row r="149" spans="1:17" x14ac:dyDescent="0.25">
      <c r="A149" s="25">
        <v>123</v>
      </c>
      <c r="B149" s="34" t="s">
        <v>128</v>
      </c>
      <c r="C149" s="27" t="s">
        <v>23</v>
      </c>
      <c r="D149" s="28">
        <v>39.700000000000003</v>
      </c>
      <c r="E149" s="29">
        <v>322.89999999999998</v>
      </c>
      <c r="F149" s="30">
        <f>AVERAGE(19.58700125,19.28977788)</f>
        <v>19.438389565000001</v>
      </c>
      <c r="G149" s="31">
        <f>STDEV(19.58700125,19.28977788)</f>
        <v>0.21016866045411903</v>
      </c>
      <c r="H149" s="30">
        <v>0.412760989375</v>
      </c>
      <c r="I149" s="31">
        <v>7.7786221629388294E-2</v>
      </c>
      <c r="J149" s="30">
        <v>16.3125</v>
      </c>
      <c r="K149" s="31">
        <v>3.6593202920761119</v>
      </c>
      <c r="L149" s="30">
        <v>-0.74</v>
      </c>
      <c r="M149" s="31">
        <v>1.083384858152554</v>
      </c>
      <c r="N149" s="30" t="s">
        <v>24</v>
      </c>
      <c r="O149" s="32" t="s">
        <v>24</v>
      </c>
      <c r="P149" s="31" t="s">
        <v>24</v>
      </c>
      <c r="Q149" s="33" t="s">
        <v>160</v>
      </c>
    </row>
    <row r="150" spans="1:17" x14ac:dyDescent="0.25">
      <c r="A150" s="13">
        <v>124</v>
      </c>
      <c r="B150" s="14" t="s">
        <v>128</v>
      </c>
      <c r="C150" s="15" t="s">
        <v>23</v>
      </c>
      <c r="D150" s="16">
        <v>41.1</v>
      </c>
      <c r="E150" s="17">
        <v>320.3</v>
      </c>
      <c r="F150" s="18">
        <f>AVERAGE(21.93205483,21.56022237)</f>
        <v>21.746138600000002</v>
      </c>
      <c r="G150" s="19">
        <f>STDEV(21.93205483,21.56022237)</f>
        <v>0.26292525393127336</v>
      </c>
      <c r="H150" s="18">
        <v>0.16117999644444445</v>
      </c>
      <c r="I150" s="19">
        <v>3.335642717826897E-2</v>
      </c>
      <c r="J150" s="18">
        <v>4.75</v>
      </c>
      <c r="K150" s="19" t="s">
        <v>24</v>
      </c>
      <c r="L150" s="18">
        <v>-0.45</v>
      </c>
      <c r="M150" s="19">
        <v>1.1458441649653879</v>
      </c>
      <c r="N150" s="18" t="s">
        <v>24</v>
      </c>
      <c r="O150" s="20" t="s">
        <v>24</v>
      </c>
      <c r="P150" s="19" t="s">
        <v>24</v>
      </c>
      <c r="Q150" s="24" t="s">
        <v>161</v>
      </c>
    </row>
    <row r="151" spans="1:17" ht="30" x14ac:dyDescent="0.25">
      <c r="A151" s="25">
        <v>125</v>
      </c>
      <c r="B151" s="34" t="s">
        <v>128</v>
      </c>
      <c r="C151" s="27" t="s">
        <v>23</v>
      </c>
      <c r="D151" s="28">
        <v>46.8</v>
      </c>
      <c r="E151" s="29">
        <v>335.8</v>
      </c>
      <c r="F151" s="30">
        <f>AVERAGE(63.35,64.359)</f>
        <v>63.854500000000002</v>
      </c>
      <c r="G151" s="31">
        <f>STDEV(63.35,64.359)</f>
        <v>0.71347074221722162</v>
      </c>
      <c r="H151" s="30">
        <v>0.38415733853846151</v>
      </c>
      <c r="I151" s="31">
        <v>6.9495362076612818E-2</v>
      </c>
      <c r="J151" s="30">
        <v>16.875</v>
      </c>
      <c r="K151" s="31">
        <v>12.418903601633545</v>
      </c>
      <c r="L151" s="30">
        <v>0.11</v>
      </c>
      <c r="M151" s="31">
        <v>1.0718986830832851</v>
      </c>
      <c r="N151" s="30" t="s">
        <v>24</v>
      </c>
      <c r="O151" s="32" t="s">
        <v>24</v>
      </c>
      <c r="P151" s="31" t="s">
        <v>24</v>
      </c>
      <c r="Q151" s="33" t="s">
        <v>245</v>
      </c>
    </row>
    <row r="152" spans="1:17" ht="15" customHeight="1" x14ac:dyDescent="0.25">
      <c r="A152" s="13">
        <v>126</v>
      </c>
      <c r="B152" s="14" t="s">
        <v>128</v>
      </c>
      <c r="C152" s="15" t="s">
        <v>23</v>
      </c>
      <c r="D152" s="16">
        <v>47.1</v>
      </c>
      <c r="E152" s="17">
        <v>355.7</v>
      </c>
      <c r="F152" s="18">
        <f>AVERAGE(28.79632565,25.41294957)</f>
        <v>27.104637609999997</v>
      </c>
      <c r="G152" s="19">
        <f>STDEV(28.79632565,25.41294957)</f>
        <v>2.3924081694723598</v>
      </c>
      <c r="H152" s="18">
        <v>0.47883395100000004</v>
      </c>
      <c r="I152" s="19">
        <v>0.1601188074094633</v>
      </c>
      <c r="J152" s="18">
        <v>54.375</v>
      </c>
      <c r="K152" s="19">
        <v>9.9947903096229744</v>
      </c>
      <c r="L152" s="18">
        <v>-0.36</v>
      </c>
      <c r="M152" s="19">
        <v>1.2093547844713139</v>
      </c>
      <c r="N152" s="18">
        <v>3.1367609999999999</v>
      </c>
      <c r="O152" s="20">
        <v>78.25</v>
      </c>
      <c r="P152" s="19">
        <f>N152*(O152/1000)</f>
        <v>0.24545154824999998</v>
      </c>
      <c r="Q152" s="24" t="s">
        <v>162</v>
      </c>
    </row>
    <row r="153" spans="1:17" ht="15" customHeight="1" x14ac:dyDescent="0.25">
      <c r="A153" s="25">
        <v>127</v>
      </c>
      <c r="B153" s="34" t="s">
        <v>128</v>
      </c>
      <c r="C153" s="27" t="s">
        <v>23</v>
      </c>
      <c r="D153" s="28">
        <v>47.5</v>
      </c>
      <c r="E153" s="29">
        <v>332</v>
      </c>
      <c r="F153" s="30">
        <f>AVERAGE(107.997,105.998)</f>
        <v>106.9975</v>
      </c>
      <c r="G153" s="31">
        <f>STDEV(107.997,105.998)</f>
        <v>1.4135064555919052</v>
      </c>
      <c r="H153" s="30">
        <v>0.33460981820000002</v>
      </c>
      <c r="I153" s="31">
        <v>5.2539806522503354E-2</v>
      </c>
      <c r="J153" s="30">
        <v>29.125</v>
      </c>
      <c r="K153" s="31">
        <v>4.7151834052828256</v>
      </c>
      <c r="L153" s="30">
        <v>0.21</v>
      </c>
      <c r="M153" s="31">
        <v>1.196675064746745</v>
      </c>
      <c r="N153" s="30" t="s">
        <v>24</v>
      </c>
      <c r="O153" s="32" t="s">
        <v>24</v>
      </c>
      <c r="P153" s="31" t="s">
        <v>24</v>
      </c>
      <c r="Q153" s="33" t="s">
        <v>163</v>
      </c>
    </row>
    <row r="154" spans="1:17" ht="30" x14ac:dyDescent="0.25">
      <c r="A154" s="13">
        <v>128</v>
      </c>
      <c r="B154" s="14" t="s">
        <v>128</v>
      </c>
      <c r="C154" s="15" t="s">
        <v>23</v>
      </c>
      <c r="D154" s="16">
        <v>47.7</v>
      </c>
      <c r="E154" s="17">
        <v>337.3</v>
      </c>
      <c r="F154" s="18">
        <f>AVERAGE(32.542,32.292)</f>
        <v>32.417000000000002</v>
      </c>
      <c r="G154" s="19">
        <f>STDEV(32.542,32.292)</f>
        <v>0.17677669529663689</v>
      </c>
      <c r="H154" s="18">
        <v>0.28603078199999998</v>
      </c>
      <c r="I154" s="19">
        <v>7.3168610962384042E-2</v>
      </c>
      <c r="J154" s="18">
        <v>15</v>
      </c>
      <c r="K154" s="19" t="s">
        <v>24</v>
      </c>
      <c r="L154" s="18">
        <v>-0.24</v>
      </c>
      <c r="M154" s="19">
        <v>1.1917906594695842</v>
      </c>
      <c r="N154" s="18" t="s">
        <v>24</v>
      </c>
      <c r="O154" s="20" t="s">
        <v>24</v>
      </c>
      <c r="P154" s="19" t="s">
        <v>24</v>
      </c>
      <c r="Q154" s="24" t="s">
        <v>244</v>
      </c>
    </row>
    <row r="155" spans="1:17" ht="30" x14ac:dyDescent="0.25">
      <c r="A155" s="25">
        <v>129</v>
      </c>
      <c r="B155" s="34" t="s">
        <v>128</v>
      </c>
      <c r="C155" s="27" t="s">
        <v>23</v>
      </c>
      <c r="D155" s="28">
        <v>47.8</v>
      </c>
      <c r="E155" s="29">
        <v>0.5</v>
      </c>
      <c r="F155" s="30">
        <f>AVERAGE(204.4095162,188.8834913)</f>
        <v>196.64650375000002</v>
      </c>
      <c r="G155" s="31">
        <f>STDEV(204.4095162,188.8834913)</f>
        <v>10.978557491661196</v>
      </c>
      <c r="H155" s="30">
        <v>0.58494836846666654</v>
      </c>
      <c r="I155" s="31">
        <v>9.3437621947547525E-2</v>
      </c>
      <c r="J155" s="30">
        <v>77.692307692307693</v>
      </c>
      <c r="K155" s="31">
        <v>28.067284084810133</v>
      </c>
      <c r="L155" s="30">
        <v>-0.24</v>
      </c>
      <c r="M155" s="31">
        <v>1.4217719658707091</v>
      </c>
      <c r="N155" s="30">
        <v>4.8615830000000004</v>
      </c>
      <c r="O155" s="32">
        <v>139.75</v>
      </c>
      <c r="P155" s="31">
        <f>N155*(O155/1000)</f>
        <v>0.67940622425000008</v>
      </c>
      <c r="Q155" s="33" t="s">
        <v>164</v>
      </c>
    </row>
    <row r="156" spans="1:17" x14ac:dyDescent="0.25">
      <c r="A156" s="13">
        <v>130</v>
      </c>
      <c r="B156" s="14" t="s">
        <v>128</v>
      </c>
      <c r="C156" s="15" t="s">
        <v>23</v>
      </c>
      <c r="D156" s="16">
        <v>48.8</v>
      </c>
      <c r="E156" s="17">
        <v>359.5</v>
      </c>
      <c r="F156" s="18">
        <f>AVERAGE(260.2280298,257.3538829)</f>
        <v>258.79095634999999</v>
      </c>
      <c r="G156" s="19">
        <f>STDEV(260.2280298,257.3538829)</f>
        <v>2.0323287631163138</v>
      </c>
      <c r="H156" s="18">
        <v>0.7121240288666667</v>
      </c>
      <c r="I156" s="19">
        <v>0.31575463012068494</v>
      </c>
      <c r="J156" s="18">
        <v>108.94736842105263</v>
      </c>
      <c r="K156" s="19">
        <v>52.243791427212265</v>
      </c>
      <c r="L156" s="18">
        <v>-0.12</v>
      </c>
      <c r="M156" s="19">
        <v>1.3258022060022276</v>
      </c>
      <c r="N156" s="18">
        <v>15.82424</v>
      </c>
      <c r="O156" s="20">
        <v>431.83333333333331</v>
      </c>
      <c r="P156" s="19">
        <f>N156*(O156/1000)</f>
        <v>6.8334343066666658</v>
      </c>
      <c r="Q156" s="24" t="s">
        <v>165</v>
      </c>
    </row>
    <row r="157" spans="1:17" x14ac:dyDescent="0.25">
      <c r="A157" s="25">
        <v>130</v>
      </c>
      <c r="B157" s="34" t="s">
        <v>128</v>
      </c>
      <c r="C157" s="27" t="s">
        <v>23</v>
      </c>
      <c r="D157" s="28">
        <v>48.9</v>
      </c>
      <c r="E157" s="29">
        <v>359.6</v>
      </c>
      <c r="F157" s="30">
        <f>AVERAGE(13.13860904,16.76343362)</f>
        <v>14.95102133</v>
      </c>
      <c r="G157" s="31">
        <f>STDEV(13.13860904,16.76343362)</f>
        <v>2.5631380411296929</v>
      </c>
      <c r="H157" s="30">
        <v>0.72008893974999999</v>
      </c>
      <c r="I157" s="31">
        <v>0.15856421073391466</v>
      </c>
      <c r="J157" s="30">
        <v>124.5</v>
      </c>
      <c r="K157" s="31">
        <v>65.053823869162372</v>
      </c>
      <c r="L157" s="30">
        <v>-0.12</v>
      </c>
      <c r="M157" s="31">
        <v>1.3258022060022276</v>
      </c>
      <c r="N157" s="30" t="s">
        <v>24</v>
      </c>
      <c r="O157" s="32" t="s">
        <v>24</v>
      </c>
      <c r="P157" s="31" t="s">
        <v>24</v>
      </c>
      <c r="Q157" s="33" t="s">
        <v>166</v>
      </c>
    </row>
    <row r="158" spans="1:17" x14ac:dyDescent="0.25">
      <c r="A158" s="13">
        <v>130</v>
      </c>
      <c r="B158" s="14" t="s">
        <v>128</v>
      </c>
      <c r="C158" s="15" t="s">
        <v>23</v>
      </c>
      <c r="D158" s="16">
        <v>50.1</v>
      </c>
      <c r="E158" s="17">
        <v>358.8</v>
      </c>
      <c r="F158" s="18">
        <f>AVERAGE(19.60907936,16.73983254)</f>
        <v>18.174455949999999</v>
      </c>
      <c r="G158" s="19">
        <f>STDEV(19.60907936,16.73983254)</f>
        <v>2.0288638833199379</v>
      </c>
      <c r="H158" s="18">
        <v>0.73605220699999996</v>
      </c>
      <c r="I158" s="19">
        <v>6.0936571937677653E-2</v>
      </c>
      <c r="J158" s="18">
        <v>131.16666666666666</v>
      </c>
      <c r="K158" s="19">
        <v>29.075189881867765</v>
      </c>
      <c r="L158" s="18">
        <v>-0.02</v>
      </c>
      <c r="M158" s="19">
        <v>1.3258022060022276</v>
      </c>
      <c r="N158" s="18">
        <v>2.0275020000000001</v>
      </c>
      <c r="O158" s="20" t="s">
        <v>24</v>
      </c>
      <c r="P158" s="19" t="s">
        <v>24</v>
      </c>
      <c r="Q158" s="24" t="s">
        <v>167</v>
      </c>
    </row>
    <row r="159" spans="1:17" x14ac:dyDescent="0.25">
      <c r="A159" s="25">
        <v>131</v>
      </c>
      <c r="B159" s="34" t="s">
        <v>128</v>
      </c>
      <c r="C159" s="27" t="s">
        <v>23</v>
      </c>
      <c r="D159" s="28">
        <v>51.6</v>
      </c>
      <c r="E159" s="29">
        <v>337.9</v>
      </c>
      <c r="F159" s="30">
        <f>AVERAGE(36.112,39.459)</f>
        <v>37.785499999999999</v>
      </c>
      <c r="G159" s="31">
        <f>STDEV(36.112,39.459)</f>
        <v>2.3666863966313754</v>
      </c>
      <c r="H159" s="30">
        <v>0.89510000000000001</v>
      </c>
      <c r="I159" s="31">
        <v>0.33607944452663779</v>
      </c>
      <c r="J159" s="30">
        <v>141.25</v>
      </c>
      <c r="K159" s="31">
        <v>36.349346624114169</v>
      </c>
      <c r="L159" s="30">
        <v>-0.91</v>
      </c>
      <c r="M159" s="31">
        <v>1.1611849910180971</v>
      </c>
      <c r="N159" s="30" t="s">
        <v>24</v>
      </c>
      <c r="O159" s="32" t="s">
        <v>24</v>
      </c>
      <c r="P159" s="31" t="s">
        <v>24</v>
      </c>
      <c r="Q159" s="33" t="s">
        <v>168</v>
      </c>
    </row>
    <row r="160" spans="1:17" ht="30" x14ac:dyDescent="0.25">
      <c r="A160" s="13">
        <v>132</v>
      </c>
      <c r="B160" s="14" t="s">
        <v>128</v>
      </c>
      <c r="C160" s="15" t="s">
        <v>87</v>
      </c>
      <c r="D160" s="16">
        <v>51.6</v>
      </c>
      <c r="E160" s="17">
        <v>347.2</v>
      </c>
      <c r="F160" s="18">
        <f>AVERAGE(144.9589,144.5463)</f>
        <v>144.7526</v>
      </c>
      <c r="G160" s="19">
        <f>STDEV(144.9589,144.5463)</f>
        <v>0.29175225791756781</v>
      </c>
      <c r="H160" s="18">
        <v>0.55734223020000007</v>
      </c>
      <c r="I160" s="19">
        <v>0.11667721589596503</v>
      </c>
      <c r="J160" s="18">
        <v>42.291666666666664</v>
      </c>
      <c r="K160" s="19">
        <v>21.939439718267995</v>
      </c>
      <c r="L160" s="18">
        <v>-0.13</v>
      </c>
      <c r="M160" s="19">
        <v>1.1833576255242224</v>
      </c>
      <c r="N160" s="18" t="s">
        <v>24</v>
      </c>
      <c r="O160" s="20" t="s">
        <v>24</v>
      </c>
      <c r="P160" s="19" t="s">
        <v>24</v>
      </c>
      <c r="Q160" s="24" t="s">
        <v>169</v>
      </c>
    </row>
    <row r="161" spans="1:17" x14ac:dyDescent="0.25">
      <c r="A161" s="25">
        <v>132</v>
      </c>
      <c r="B161" s="34" t="s">
        <v>128</v>
      </c>
      <c r="C161" s="27" t="s">
        <v>85</v>
      </c>
      <c r="D161" s="28">
        <v>51.6</v>
      </c>
      <c r="E161" s="29">
        <v>347.2</v>
      </c>
      <c r="F161" s="30">
        <f>AVERAGE(29.4038,28.0054)</f>
        <v>28.704599999999999</v>
      </c>
      <c r="G161" s="31">
        <f>STDEV(29.4038,28.0054)</f>
        <v>0.98881812281126713</v>
      </c>
      <c r="H161" s="30">
        <v>3.0228256652249996</v>
      </c>
      <c r="I161" s="31">
        <v>0.413353874729954</v>
      </c>
      <c r="J161" s="30">
        <v>377.875</v>
      </c>
      <c r="K161" s="31">
        <v>197.54846451778189</v>
      </c>
      <c r="L161" s="30">
        <v>-1.3</v>
      </c>
      <c r="M161" s="31">
        <v>1.0897082651255965</v>
      </c>
      <c r="N161" s="30">
        <v>51.658548000000003</v>
      </c>
      <c r="O161" s="32">
        <v>806.125</v>
      </c>
      <c r="P161" s="31">
        <f>N161*(O161/1000)</f>
        <v>41.643247006500005</v>
      </c>
      <c r="Q161" s="33" t="s">
        <v>170</v>
      </c>
    </row>
    <row r="162" spans="1:17" ht="30" x14ac:dyDescent="0.25">
      <c r="A162" s="13">
        <v>133</v>
      </c>
      <c r="B162" s="14" t="s">
        <v>128</v>
      </c>
      <c r="C162" s="15" t="s">
        <v>23</v>
      </c>
      <c r="D162" s="16">
        <v>51.7</v>
      </c>
      <c r="E162" s="17">
        <v>336.9</v>
      </c>
      <c r="F162" s="18">
        <f>AVERAGE(62.034,64.792)</f>
        <v>63.412999999999997</v>
      </c>
      <c r="G162" s="19">
        <f>STDEV(62.034,64.792)</f>
        <v>1.9502005025125</v>
      </c>
      <c r="H162" s="18">
        <v>0.95695999999999992</v>
      </c>
      <c r="I162" s="19">
        <v>0.39269846612891163</v>
      </c>
      <c r="J162" s="18">
        <v>205.08333333333334</v>
      </c>
      <c r="K162" s="19">
        <v>79.073014781698248</v>
      </c>
      <c r="L162" s="18">
        <v>-0.18</v>
      </c>
      <c r="M162" s="19">
        <v>1.1214178375761539</v>
      </c>
      <c r="N162" s="18" t="s">
        <v>24</v>
      </c>
      <c r="O162" s="20" t="s">
        <v>24</v>
      </c>
      <c r="P162" s="19" t="s">
        <v>24</v>
      </c>
      <c r="Q162" s="24" t="s">
        <v>171</v>
      </c>
    </row>
    <row r="163" spans="1:17" x14ac:dyDescent="0.25">
      <c r="A163" s="25">
        <v>134</v>
      </c>
      <c r="B163" s="34" t="s">
        <v>128</v>
      </c>
      <c r="C163" s="27" t="s">
        <v>23</v>
      </c>
      <c r="D163" s="28">
        <v>51.8</v>
      </c>
      <c r="E163" s="29">
        <v>344.2</v>
      </c>
      <c r="F163" s="30">
        <f>AVERAGE(12.78,14.586)</f>
        <v>13.683</v>
      </c>
      <c r="G163" s="31">
        <f>STDEV(12.78,14.586)</f>
        <v>1.2770348468229056</v>
      </c>
      <c r="H163" s="30">
        <v>0.56576999999999988</v>
      </c>
      <c r="I163" s="31">
        <v>0.19474396709526109</v>
      </c>
      <c r="J163" s="30">
        <v>59.75</v>
      </c>
      <c r="K163" s="31">
        <v>22.122763540450066</v>
      </c>
      <c r="L163" s="30">
        <v>-0.24</v>
      </c>
      <c r="M163" s="31">
        <v>1.0771843737209272</v>
      </c>
      <c r="N163" s="30" t="s">
        <v>24</v>
      </c>
      <c r="O163" s="32" t="s">
        <v>24</v>
      </c>
      <c r="P163" s="31" t="s">
        <v>24</v>
      </c>
      <c r="Q163" s="33" t="s">
        <v>172</v>
      </c>
    </row>
    <row r="164" spans="1:17" ht="30" x14ac:dyDescent="0.25">
      <c r="A164" s="13">
        <v>135</v>
      </c>
      <c r="B164" s="14" t="s">
        <v>128</v>
      </c>
      <c r="C164" s="15" t="s">
        <v>23</v>
      </c>
      <c r="D164" s="16">
        <v>52</v>
      </c>
      <c r="E164" s="17">
        <v>340.6</v>
      </c>
      <c r="F164" s="18">
        <f>AVERAGE(21.728,22.587)</f>
        <v>22.157499999999999</v>
      </c>
      <c r="G164" s="19">
        <f>STDEV(21.728,22.587)</f>
        <v>0.60740472503924303</v>
      </c>
      <c r="H164" s="18">
        <v>0.53047125000000006</v>
      </c>
      <c r="I164" s="19">
        <v>0.12538456232584136</v>
      </c>
      <c r="J164" s="18">
        <v>59</v>
      </c>
      <c r="K164" s="19">
        <v>19.387495970341295</v>
      </c>
      <c r="L164" s="18">
        <v>-0.69</v>
      </c>
      <c r="M164" s="19">
        <v>1.1097432144153272</v>
      </c>
      <c r="N164" s="18" t="s">
        <v>24</v>
      </c>
      <c r="O164" s="20" t="s">
        <v>24</v>
      </c>
      <c r="P164" s="19" t="s">
        <v>24</v>
      </c>
      <c r="Q164" s="24" t="s">
        <v>173</v>
      </c>
    </row>
    <row r="165" spans="1:17" x14ac:dyDescent="0.25">
      <c r="A165" s="25">
        <v>135</v>
      </c>
      <c r="B165" s="34" t="s">
        <v>128</v>
      </c>
      <c r="C165" s="27" t="s">
        <v>142</v>
      </c>
      <c r="D165" s="28">
        <v>52</v>
      </c>
      <c r="E165" s="29">
        <v>340.6</v>
      </c>
      <c r="F165" s="30">
        <f>AVERAGE(21.56654275,20.65869756)</f>
        <v>21.112620155000002</v>
      </c>
      <c r="G165" s="31">
        <f>STDEV(21.56654275,20.65869756)</f>
        <v>0.64194349011658947</v>
      </c>
      <c r="H165" s="30">
        <v>0.62742332422222213</v>
      </c>
      <c r="I165" s="31">
        <v>0.19849853455921884</v>
      </c>
      <c r="J165" s="30">
        <v>70.833333333333329</v>
      </c>
      <c r="K165" s="31">
        <v>32.121124928412243</v>
      </c>
      <c r="L165" s="30">
        <v>-0.49</v>
      </c>
      <c r="M165" s="31">
        <v>1.134262039241273</v>
      </c>
      <c r="N165" s="30" t="s">
        <v>24</v>
      </c>
      <c r="O165" s="32" t="s">
        <v>24</v>
      </c>
      <c r="P165" s="31" t="s">
        <v>24</v>
      </c>
      <c r="Q165" s="33" t="s">
        <v>174</v>
      </c>
    </row>
    <row r="166" spans="1:17" x14ac:dyDescent="0.25">
      <c r="A166" s="13">
        <v>136</v>
      </c>
      <c r="B166" s="14" t="s">
        <v>128</v>
      </c>
      <c r="C166" s="15" t="s">
        <v>141</v>
      </c>
      <c r="D166" s="16">
        <v>52.2</v>
      </c>
      <c r="E166" s="71">
        <v>341.5</v>
      </c>
      <c r="F166" s="18">
        <f>AVERAGE(14.23262976,13.27250805)</f>
        <v>13.752568905</v>
      </c>
      <c r="G166" s="19">
        <f>STDEV(14.23262976,13.27250805)</f>
        <v>0.67890857190542331</v>
      </c>
      <c r="H166" s="18">
        <v>0.68787435388888885</v>
      </c>
      <c r="I166" s="19">
        <v>0.24668703941337325</v>
      </c>
      <c r="J166" s="18">
        <v>44.642857142857146</v>
      </c>
      <c r="K166" s="19">
        <v>19.995237528209657</v>
      </c>
      <c r="L166" s="18">
        <v>-0.36</v>
      </c>
      <c r="M166" s="19">
        <v>1.0279172268435568</v>
      </c>
      <c r="N166" s="18" t="s">
        <v>24</v>
      </c>
      <c r="O166" s="20" t="s">
        <v>24</v>
      </c>
      <c r="P166" s="19" t="s">
        <v>24</v>
      </c>
      <c r="Q166" s="24" t="s">
        <v>175</v>
      </c>
    </row>
    <row r="167" spans="1:17" x14ac:dyDescent="0.25">
      <c r="A167" s="25">
        <v>136</v>
      </c>
      <c r="B167" s="34" t="s">
        <v>128</v>
      </c>
      <c r="C167" s="27" t="s">
        <v>142</v>
      </c>
      <c r="D167" s="28">
        <v>52.2</v>
      </c>
      <c r="E167" s="29">
        <v>341.5</v>
      </c>
      <c r="F167" s="30">
        <f>AVERAGE(8.441255637,8.953887907)</f>
        <v>8.6975717719999999</v>
      </c>
      <c r="G167" s="31">
        <f>STDEV(8.441255637,8.953887907)</f>
        <v>0.36248575437205383</v>
      </c>
      <c r="H167" s="30">
        <v>0.58613231900000007</v>
      </c>
      <c r="I167" s="31">
        <v>0.26078260854868762</v>
      </c>
      <c r="J167" s="30">
        <v>56</v>
      </c>
      <c r="K167" s="31">
        <v>10.606601717798213</v>
      </c>
      <c r="L167" s="30">
        <v>-0.22</v>
      </c>
      <c r="M167" s="31">
        <v>1.0377431351958373</v>
      </c>
      <c r="N167" s="30" t="s">
        <v>24</v>
      </c>
      <c r="O167" s="32" t="s">
        <v>24</v>
      </c>
      <c r="P167" s="31" t="s">
        <v>24</v>
      </c>
      <c r="Q167" s="33" t="s">
        <v>176</v>
      </c>
    </row>
    <row r="168" spans="1:17" x14ac:dyDescent="0.25">
      <c r="A168" s="13">
        <v>137</v>
      </c>
      <c r="B168" s="14" t="s">
        <v>128</v>
      </c>
      <c r="C168" s="15" t="s">
        <v>23</v>
      </c>
      <c r="D168" s="16">
        <v>52.5</v>
      </c>
      <c r="E168" s="17">
        <v>327.8</v>
      </c>
      <c r="F168" s="18">
        <f>AVERAGE(47.75,47.656)</f>
        <v>47.703000000000003</v>
      </c>
      <c r="G168" s="19">
        <f>STDEV(47.75,47.656)</f>
        <v>6.6468037431536314E-2</v>
      </c>
      <c r="H168" s="18">
        <v>1.6184208204285713</v>
      </c>
      <c r="I168" s="19">
        <v>0.47037760394233102</v>
      </c>
      <c r="J168" s="18">
        <v>264.16666666666669</v>
      </c>
      <c r="K168" s="19">
        <v>97.049300186382908</v>
      </c>
      <c r="L168" s="18">
        <v>-1.1100000000000001</v>
      </c>
      <c r="M168" s="19">
        <v>1.302876249196071</v>
      </c>
      <c r="N168" s="18" t="s">
        <v>24</v>
      </c>
      <c r="O168" s="20" t="s">
        <v>24</v>
      </c>
      <c r="P168" s="19" t="s">
        <v>24</v>
      </c>
      <c r="Q168" s="24" t="s">
        <v>177</v>
      </c>
    </row>
    <row r="169" spans="1:17" x14ac:dyDescent="0.25">
      <c r="A169" s="25">
        <v>138</v>
      </c>
      <c r="B169" s="34" t="s">
        <v>128</v>
      </c>
      <c r="C169" s="27" t="s">
        <v>23</v>
      </c>
      <c r="D169" s="28">
        <v>52.5</v>
      </c>
      <c r="E169" s="29">
        <v>337.7</v>
      </c>
      <c r="F169" s="30">
        <f>AVERAGE(15.38434144,13.01726841)</f>
        <v>14.200804925</v>
      </c>
      <c r="G169" s="31">
        <f>STDEV(15.38434144,13.01726841)</f>
        <v>1.6737733910767882</v>
      </c>
      <c r="H169" s="30">
        <v>0.65316823750000008</v>
      </c>
      <c r="I169" s="31">
        <v>9.8322007663893554E-2</v>
      </c>
      <c r="J169" s="30">
        <v>87</v>
      </c>
      <c r="K169" s="31">
        <v>18.296174463531987</v>
      </c>
      <c r="L169" s="30">
        <v>-0.05</v>
      </c>
      <c r="M169" s="31">
        <v>1.411741608695309</v>
      </c>
      <c r="N169" s="30" t="s">
        <v>24</v>
      </c>
      <c r="O169" s="32" t="s">
        <v>24</v>
      </c>
      <c r="P169" s="31" t="s">
        <v>24</v>
      </c>
      <c r="Q169" s="33" t="s">
        <v>178</v>
      </c>
    </row>
    <row r="170" spans="1:17" x14ac:dyDescent="0.25">
      <c r="A170" s="13">
        <v>139</v>
      </c>
      <c r="B170" s="14" t="s">
        <v>128</v>
      </c>
      <c r="C170" s="15" t="s">
        <v>23</v>
      </c>
      <c r="D170" s="16">
        <v>52.6</v>
      </c>
      <c r="E170" s="17">
        <v>354.7</v>
      </c>
      <c r="F170" s="18">
        <f>AVERAGE(82.25333687,91.47416203)</f>
        <v>86.86374945</v>
      </c>
      <c r="G170" s="19">
        <f>STDEV(82.25333687,91.47416203)</f>
        <v>6.5201079987715351</v>
      </c>
      <c r="H170" s="18">
        <v>2.4260202871428569</v>
      </c>
      <c r="I170" s="19">
        <v>0.52982188127565888</v>
      </c>
      <c r="J170" s="18">
        <v>417.04545454545456</v>
      </c>
      <c r="K170" s="19">
        <v>180.58785321076479</v>
      </c>
      <c r="L170" s="18">
        <v>-0.11</v>
      </c>
      <c r="M170" s="19">
        <v>1.1184664928527672</v>
      </c>
      <c r="N170" s="18">
        <v>71.442014999999998</v>
      </c>
      <c r="O170" s="20">
        <v>906.41666666666663</v>
      </c>
      <c r="P170" s="19">
        <f>N170*(O170/1000)</f>
        <v>64.75623309625</v>
      </c>
      <c r="Q170" s="24" t="s">
        <v>179</v>
      </c>
    </row>
    <row r="171" spans="1:17" x14ac:dyDescent="0.25">
      <c r="A171" s="25">
        <v>140</v>
      </c>
      <c r="B171" s="34" t="s">
        <v>128</v>
      </c>
      <c r="C171" s="27" t="s">
        <v>23</v>
      </c>
      <c r="D171" s="28">
        <v>53.9</v>
      </c>
      <c r="E171" s="29">
        <v>0</v>
      </c>
      <c r="F171" s="30">
        <f>AVERAGE(44.16887197,45.07816116)</f>
        <v>44.623516565000003</v>
      </c>
      <c r="G171" s="31">
        <f>STDEV(44.16887197,45.07816116)</f>
        <v>0.64296455230862493</v>
      </c>
      <c r="H171" s="30">
        <v>1.6490310117499998</v>
      </c>
      <c r="I171" s="31">
        <v>0.61225607728612885</v>
      </c>
      <c r="J171" s="30">
        <v>263.71428571428572</v>
      </c>
      <c r="K171" s="31">
        <v>125.5225269101318</v>
      </c>
      <c r="L171" s="30">
        <v>-0.52</v>
      </c>
      <c r="M171" s="31">
        <v>1.1285171663038982</v>
      </c>
      <c r="N171" s="30">
        <v>7.3895850000000003</v>
      </c>
      <c r="O171" s="32">
        <v>482</v>
      </c>
      <c r="P171" s="31">
        <f>N171*(O171/1000)</f>
        <v>3.5617799699999999</v>
      </c>
      <c r="Q171" s="33" t="s">
        <v>180</v>
      </c>
    </row>
    <row r="172" spans="1:17" ht="30" x14ac:dyDescent="0.25">
      <c r="A172" s="13">
        <v>141</v>
      </c>
      <c r="B172" s="22" t="s">
        <v>181</v>
      </c>
      <c r="C172" s="15" t="s">
        <v>23</v>
      </c>
      <c r="D172" s="16">
        <v>-25.8</v>
      </c>
      <c r="E172" s="17">
        <v>264.89999999999998</v>
      </c>
      <c r="F172" s="18">
        <f>AVERAGE(91.42518539,98.81117532)</f>
        <v>95.118180354999993</v>
      </c>
      <c r="G172" s="19">
        <f>STDEV(91.42518539,98.81117532)</f>
        <v>5.222683565278559</v>
      </c>
      <c r="H172" s="18">
        <v>0.67562434539999994</v>
      </c>
      <c r="I172" s="19">
        <v>0.41460383788073496</v>
      </c>
      <c r="J172" s="18">
        <v>157.84375</v>
      </c>
      <c r="K172" s="19">
        <v>92.710610458925714</v>
      </c>
      <c r="L172" s="18">
        <v>-1.1000000000000001</v>
      </c>
      <c r="M172" s="19">
        <v>1.2842829206677167</v>
      </c>
      <c r="N172" s="18" t="s">
        <v>24</v>
      </c>
      <c r="O172" s="20" t="s">
        <v>24</v>
      </c>
      <c r="P172" s="19" t="s">
        <v>24</v>
      </c>
      <c r="Q172" s="24" t="s">
        <v>182</v>
      </c>
    </row>
    <row r="173" spans="1:17" x14ac:dyDescent="0.25">
      <c r="A173" s="25">
        <v>142</v>
      </c>
      <c r="B173" s="26" t="s">
        <v>181</v>
      </c>
      <c r="C173" s="27" t="s">
        <v>23</v>
      </c>
      <c r="D173" s="28">
        <v>-22.4</v>
      </c>
      <c r="E173" s="29">
        <v>277.39999999999998</v>
      </c>
      <c r="F173" s="30">
        <f>AVERAGE(27.9905907,28.02974314)</f>
        <v>28.01016692</v>
      </c>
      <c r="G173" s="31">
        <f>STDEV(27.9905907,28.02974314)</f>
        <v>2.7684955824001049E-2</v>
      </c>
      <c r="H173" s="30">
        <v>0.83747002012500005</v>
      </c>
      <c r="I173" s="31">
        <v>0.23595594438889034</v>
      </c>
      <c r="J173" s="30">
        <v>187.92857142857142</v>
      </c>
      <c r="K173" s="31">
        <v>24.751142349779499</v>
      </c>
      <c r="L173" s="30">
        <v>-0.31</v>
      </c>
      <c r="M173" s="31">
        <v>1.6270171638297877</v>
      </c>
      <c r="N173" s="30" t="s">
        <v>24</v>
      </c>
      <c r="O173" s="32" t="s">
        <v>24</v>
      </c>
      <c r="P173" s="31" t="s">
        <v>24</v>
      </c>
      <c r="Q173" s="33" t="s">
        <v>183</v>
      </c>
    </row>
    <row r="174" spans="1:17" x14ac:dyDescent="0.25">
      <c r="A174" s="13">
        <v>143</v>
      </c>
      <c r="B174" s="22" t="s">
        <v>181</v>
      </c>
      <c r="C174" s="15" t="s">
        <v>23</v>
      </c>
      <c r="D174" s="16">
        <v>-22.2</v>
      </c>
      <c r="E174" s="17">
        <v>273.3</v>
      </c>
      <c r="F174" s="18">
        <f>AVERAGE(17.26929906,17.34308546)</f>
        <v>17.306192260000003</v>
      </c>
      <c r="G174" s="19">
        <f>STDEV(17.26929906,17.34308546)</f>
        <v>5.2174863799342698E-2</v>
      </c>
      <c r="H174" s="18">
        <v>0.25889576966666666</v>
      </c>
      <c r="I174" s="19">
        <v>3.5755084002464854E-2</v>
      </c>
      <c r="J174" s="18">
        <v>34.5</v>
      </c>
      <c r="K174" s="19">
        <v>22.096379793984354</v>
      </c>
      <c r="L174" s="18">
        <v>-0.4</v>
      </c>
      <c r="M174" s="19">
        <v>1.1936133884960791</v>
      </c>
      <c r="N174" s="18">
        <v>1.24892</v>
      </c>
      <c r="O174" s="20" t="s">
        <v>54</v>
      </c>
      <c r="P174" s="19" t="s">
        <v>54</v>
      </c>
      <c r="Q174" s="24" t="s">
        <v>184</v>
      </c>
    </row>
    <row r="175" spans="1:17" x14ac:dyDescent="0.25">
      <c r="A175" s="25">
        <v>144</v>
      </c>
      <c r="B175" s="26" t="s">
        <v>181</v>
      </c>
      <c r="C175" s="27" t="s">
        <v>23</v>
      </c>
      <c r="D175" s="28">
        <v>-21.8</v>
      </c>
      <c r="E175" s="29">
        <v>274.3</v>
      </c>
      <c r="F175" s="30">
        <f>AVERAGE(14.80737667,14.41866465)</f>
        <v>14.61302066</v>
      </c>
      <c r="G175" s="31">
        <f>STDEV(14.80737667,14.41866465)</f>
        <v>0.27486090527072077</v>
      </c>
      <c r="H175" s="30">
        <v>0.31887228477777774</v>
      </c>
      <c r="I175" s="31">
        <v>9.4731367729548516E-2</v>
      </c>
      <c r="J175" s="30">
        <v>44.85</v>
      </c>
      <c r="K175" s="31">
        <v>14.729128359214689</v>
      </c>
      <c r="L175" s="30">
        <v>-0.5</v>
      </c>
      <c r="M175" s="31">
        <v>1.2546119973645886</v>
      </c>
      <c r="N175" s="30" t="s">
        <v>24</v>
      </c>
      <c r="O175" s="32" t="s">
        <v>24</v>
      </c>
      <c r="P175" s="31" t="s">
        <v>24</v>
      </c>
      <c r="Q175" s="33" t="s">
        <v>185</v>
      </c>
    </row>
    <row r="176" spans="1:17" x14ac:dyDescent="0.25">
      <c r="A176" s="13">
        <v>145</v>
      </c>
      <c r="B176" s="22" t="s">
        <v>181</v>
      </c>
      <c r="C176" s="15" t="s">
        <v>23</v>
      </c>
      <c r="D176" s="16">
        <v>-19</v>
      </c>
      <c r="E176" s="17">
        <v>274.89999999999998</v>
      </c>
      <c r="F176" s="18">
        <f>AVERAGE(12.13463268,12.06951275)</f>
        <v>12.102072714999998</v>
      </c>
      <c r="G176" s="19">
        <f>STDEV(12.13463268,12.06951275)</f>
        <v>4.6046744093393169E-2</v>
      </c>
      <c r="H176" s="18">
        <v>0.62470894750000006</v>
      </c>
      <c r="I176" s="19">
        <v>0.10761469490479814</v>
      </c>
      <c r="J176" s="18">
        <v>66.5</v>
      </c>
      <c r="K176" s="19">
        <v>12.020815280171307</v>
      </c>
      <c r="L176" s="18">
        <v>-1</v>
      </c>
      <c r="M176" s="19">
        <v>1.1398456321854868</v>
      </c>
      <c r="N176" s="18">
        <v>1.8933580000000001</v>
      </c>
      <c r="O176" s="20">
        <v>84.666666666666671</v>
      </c>
      <c r="P176" s="19">
        <f>N176*(O176/1000)</f>
        <v>0.16030431066666667</v>
      </c>
      <c r="Q176" s="24" t="s">
        <v>186</v>
      </c>
    </row>
    <row r="177" spans="1:17" x14ac:dyDescent="0.25">
      <c r="A177" s="25">
        <v>146</v>
      </c>
      <c r="B177" s="26" t="s">
        <v>181</v>
      </c>
      <c r="C177" s="27" t="s">
        <v>23</v>
      </c>
      <c r="D177" s="28">
        <v>-13.7</v>
      </c>
      <c r="E177" s="29">
        <v>274.10000000000002</v>
      </c>
      <c r="F177" s="30">
        <f>AVERAGE(81.74027692,82.03743105)</f>
        <v>81.888853984999997</v>
      </c>
      <c r="G177" s="31">
        <f>STDEV(81.74027692,82.03743105)</f>
        <v>0.21011970038058578</v>
      </c>
      <c r="H177" s="30">
        <v>0.28111437635714287</v>
      </c>
      <c r="I177" s="31">
        <v>0.11674036757971266</v>
      </c>
      <c r="J177" s="30">
        <v>49.92307692307692</v>
      </c>
      <c r="K177" s="31">
        <v>39.422310811818093</v>
      </c>
      <c r="L177" s="30">
        <v>-0.28000000000000003</v>
      </c>
      <c r="M177" s="31">
        <v>1.45385759361911</v>
      </c>
      <c r="N177" s="30" t="s">
        <v>24</v>
      </c>
      <c r="O177" s="32" t="s">
        <v>24</v>
      </c>
      <c r="P177" s="31" t="s">
        <v>24</v>
      </c>
      <c r="Q177" s="33" t="s">
        <v>187</v>
      </c>
    </row>
    <row r="178" spans="1:17" ht="30" x14ac:dyDescent="0.25">
      <c r="A178" s="13">
        <v>147</v>
      </c>
      <c r="B178" s="22" t="s">
        <v>181</v>
      </c>
      <c r="C178" s="15" t="s">
        <v>23</v>
      </c>
      <c r="D178" s="16">
        <v>-12.7</v>
      </c>
      <c r="E178" s="17">
        <v>272.5</v>
      </c>
      <c r="F178" s="18">
        <f>AVERAGE(29.46441709,29.14334416)</f>
        <v>29.303880625000001</v>
      </c>
      <c r="G178" s="19">
        <f>STDEV(29.46441709,29.14334416)</f>
        <v>0.22703284605843346</v>
      </c>
      <c r="H178" s="18">
        <v>0.21027262111111111</v>
      </c>
      <c r="I178" s="19">
        <v>2.6473059849698308E-2</v>
      </c>
      <c r="J178" s="18">
        <v>10.666666666666666</v>
      </c>
      <c r="K178" s="19">
        <v>0.76376261582597949</v>
      </c>
      <c r="L178" s="18">
        <v>-0.08</v>
      </c>
      <c r="M178" s="19">
        <v>1.2171205792870949</v>
      </c>
      <c r="N178" s="18" t="s">
        <v>24</v>
      </c>
      <c r="O178" s="20" t="s">
        <v>24</v>
      </c>
      <c r="P178" s="19" t="s">
        <v>24</v>
      </c>
      <c r="Q178" s="24" t="s">
        <v>188</v>
      </c>
    </row>
    <row r="179" spans="1:17" x14ac:dyDescent="0.25">
      <c r="A179" s="25">
        <v>148</v>
      </c>
      <c r="B179" s="26" t="s">
        <v>181</v>
      </c>
      <c r="C179" s="27" t="s">
        <v>23</v>
      </c>
      <c r="D179" s="28">
        <v>-11.9</v>
      </c>
      <c r="E179" s="29">
        <v>279.10000000000002</v>
      </c>
      <c r="F179" s="30">
        <f>AVERAGE(38.28826902,38.05743458)</f>
        <v>38.172851800000004</v>
      </c>
      <c r="G179" s="31">
        <f>STDEV(38.28826902,38.05743458)</f>
        <v>0.16322459785540094</v>
      </c>
      <c r="H179" s="30">
        <v>1.9450089344999997</v>
      </c>
      <c r="I179" s="31">
        <v>0.78999520896815556</v>
      </c>
      <c r="J179" s="30">
        <v>175.8</v>
      </c>
      <c r="K179" s="31">
        <v>112.71069159578428</v>
      </c>
      <c r="L179" s="30">
        <v>-0.83</v>
      </c>
      <c r="M179" s="31">
        <v>1.2016437028609019</v>
      </c>
      <c r="N179" s="30" t="s">
        <v>24</v>
      </c>
      <c r="O179" s="32" t="s">
        <v>24</v>
      </c>
      <c r="P179" s="31" t="s">
        <v>24</v>
      </c>
      <c r="Q179" s="33" t="s">
        <v>189</v>
      </c>
    </row>
    <row r="180" spans="1:17" x14ac:dyDescent="0.25">
      <c r="A180" s="13">
        <v>149</v>
      </c>
      <c r="B180" s="22" t="s">
        <v>181</v>
      </c>
      <c r="C180" s="15" t="s">
        <v>23</v>
      </c>
      <c r="D180" s="16">
        <v>-11.2</v>
      </c>
      <c r="E180" s="17">
        <v>271.7</v>
      </c>
      <c r="F180" s="18">
        <f>AVERAGE(38.87690381,39.50690907)</f>
        <v>39.191906439999997</v>
      </c>
      <c r="G180" s="19">
        <f>STDEV(38.87690381,39.50690907)</f>
        <v>0.44548099152919207</v>
      </c>
      <c r="H180" s="18">
        <v>0.28325519450000003</v>
      </c>
      <c r="I180" s="19">
        <v>3.6420033847465144E-2</v>
      </c>
      <c r="J180" s="18">
        <v>15.333333333333334</v>
      </c>
      <c r="K180" s="19">
        <v>5.4486236794258422</v>
      </c>
      <c r="L180" s="18">
        <v>-0.01</v>
      </c>
      <c r="M180" s="19">
        <v>1.2487007732401414</v>
      </c>
      <c r="N180" s="18" t="s">
        <v>24</v>
      </c>
      <c r="O180" s="20" t="s">
        <v>24</v>
      </c>
      <c r="P180" s="19" t="s">
        <v>24</v>
      </c>
      <c r="Q180" s="24" t="s">
        <v>190</v>
      </c>
    </row>
    <row r="181" spans="1:17" x14ac:dyDescent="0.25">
      <c r="A181" s="25">
        <v>150</v>
      </c>
      <c r="B181" s="26" t="s">
        <v>181</v>
      </c>
      <c r="C181" s="27" t="s">
        <v>23</v>
      </c>
      <c r="D181" s="28">
        <v>-10.8</v>
      </c>
      <c r="E181" s="29">
        <v>276</v>
      </c>
      <c r="F181" s="30">
        <f>AVERAGE(44.88241034,43.07357635)</f>
        <v>43.977993345000002</v>
      </c>
      <c r="G181" s="31">
        <f>STDEV(44.88241034,43.07357635)</f>
        <v>1.2790387803697172</v>
      </c>
      <c r="H181" s="30">
        <v>0.2797385838571429</v>
      </c>
      <c r="I181" s="31">
        <v>3.0431709093556466E-2</v>
      </c>
      <c r="J181" s="30">
        <v>33.1875</v>
      </c>
      <c r="K181" s="31">
        <v>19.480645156521017</v>
      </c>
      <c r="L181" s="30">
        <v>-0.12</v>
      </c>
      <c r="M181" s="31">
        <v>1.4526493229656907</v>
      </c>
      <c r="N181" s="30" t="s">
        <v>24</v>
      </c>
      <c r="O181" s="32" t="s">
        <v>24</v>
      </c>
      <c r="P181" s="31" t="s">
        <v>24</v>
      </c>
      <c r="Q181" s="33" t="s">
        <v>191</v>
      </c>
    </row>
    <row r="182" spans="1:17" x14ac:dyDescent="0.25">
      <c r="A182" s="13">
        <v>151</v>
      </c>
      <c r="B182" s="22" t="s">
        <v>181</v>
      </c>
      <c r="C182" s="15" t="s">
        <v>23</v>
      </c>
      <c r="D182" s="16">
        <v>-10.4</v>
      </c>
      <c r="E182" s="17">
        <v>276.89999999999998</v>
      </c>
      <c r="F182" s="18">
        <f>AVERAGE(9.886369271,8.030855773)</f>
        <v>8.9586125219999992</v>
      </c>
      <c r="G182" s="19">
        <f>STDEV(9.886369271,8.030855773)</f>
        <v>1.3120461770189817</v>
      </c>
      <c r="H182" s="18">
        <v>0.36602677333333333</v>
      </c>
      <c r="I182" s="19">
        <v>9.1766893427075474E-2</v>
      </c>
      <c r="J182" s="18">
        <v>68.666666666666671</v>
      </c>
      <c r="K182" s="19">
        <v>31.991665581314557</v>
      </c>
      <c r="L182" s="18">
        <v>-0.6</v>
      </c>
      <c r="M182" s="19">
        <v>1.3775895037599428</v>
      </c>
      <c r="N182" s="18" t="s">
        <v>24</v>
      </c>
      <c r="O182" s="20" t="s">
        <v>24</v>
      </c>
      <c r="P182" s="19" t="s">
        <v>24</v>
      </c>
      <c r="Q182" s="24" t="s">
        <v>192</v>
      </c>
    </row>
    <row r="183" spans="1:17" ht="30" x14ac:dyDescent="0.25">
      <c r="A183" s="25">
        <v>152</v>
      </c>
      <c r="B183" s="26" t="s">
        <v>181</v>
      </c>
      <c r="C183" s="27" t="s">
        <v>23</v>
      </c>
      <c r="D183" s="28">
        <v>-8.9</v>
      </c>
      <c r="E183" s="29">
        <v>269.8</v>
      </c>
      <c r="F183" s="30">
        <f>AVERAGE(85.57193916,87.82066889)</f>
        <v>86.696304024999989</v>
      </c>
      <c r="G183" s="31">
        <f>STDEV(85.57193916,87.82066889)</f>
        <v>1.5900920411387898</v>
      </c>
      <c r="H183" s="30">
        <v>0.20490082264285714</v>
      </c>
      <c r="I183" s="31">
        <v>4.1169859679545714E-2</v>
      </c>
      <c r="J183" s="30">
        <v>12.909090909090908</v>
      </c>
      <c r="K183" s="31">
        <v>3.8847019307675459</v>
      </c>
      <c r="L183" s="30">
        <v>0.23</v>
      </c>
      <c r="M183" s="31">
        <v>1.1951915704448794</v>
      </c>
      <c r="N183" s="30" t="s">
        <v>24</v>
      </c>
      <c r="O183" s="32" t="s">
        <v>24</v>
      </c>
      <c r="P183" s="31" t="s">
        <v>24</v>
      </c>
      <c r="Q183" s="33" t="s">
        <v>193</v>
      </c>
    </row>
    <row r="184" spans="1:17" x14ac:dyDescent="0.25">
      <c r="A184" s="77" t="s">
        <v>1</v>
      </c>
      <c r="B184" s="79" t="s">
        <v>2</v>
      </c>
      <c r="C184" s="81" t="s">
        <v>3</v>
      </c>
      <c r="D184" s="77" t="s">
        <v>4</v>
      </c>
      <c r="E184" s="81" t="s">
        <v>5</v>
      </c>
      <c r="F184" s="5" t="s">
        <v>6</v>
      </c>
      <c r="G184" s="7" t="s">
        <v>7</v>
      </c>
      <c r="H184" s="5" t="s">
        <v>8</v>
      </c>
      <c r="I184" s="7" t="s">
        <v>9</v>
      </c>
      <c r="J184" s="5" t="s">
        <v>10</v>
      </c>
      <c r="K184" s="7" t="s">
        <v>9</v>
      </c>
      <c r="L184" s="5" t="s">
        <v>11</v>
      </c>
      <c r="M184" s="8" t="s">
        <v>12</v>
      </c>
      <c r="N184" s="5" t="s">
        <v>13</v>
      </c>
      <c r="O184" s="6" t="s">
        <v>14</v>
      </c>
      <c r="P184" s="7" t="s">
        <v>15</v>
      </c>
      <c r="Q184" s="75" t="s">
        <v>16</v>
      </c>
    </row>
    <row r="185" spans="1:17" ht="18" x14ac:dyDescent="0.25">
      <c r="A185" s="78"/>
      <c r="B185" s="80"/>
      <c r="C185" s="82"/>
      <c r="D185" s="78"/>
      <c r="E185" s="82"/>
      <c r="F185" s="9" t="s">
        <v>17</v>
      </c>
      <c r="G185" s="11" t="s">
        <v>17</v>
      </c>
      <c r="H185" s="9" t="s">
        <v>17</v>
      </c>
      <c r="I185" s="11" t="s">
        <v>17</v>
      </c>
      <c r="J185" s="9" t="s">
        <v>18</v>
      </c>
      <c r="K185" s="11" t="s">
        <v>18</v>
      </c>
      <c r="L185" s="9" t="s">
        <v>19</v>
      </c>
      <c r="M185" s="12"/>
      <c r="N185" s="9" t="s">
        <v>20</v>
      </c>
      <c r="O185" s="10" t="s">
        <v>18</v>
      </c>
      <c r="P185" s="11" t="s">
        <v>21</v>
      </c>
      <c r="Q185" s="76"/>
    </row>
    <row r="186" spans="1:17" ht="30" customHeight="1" x14ac:dyDescent="0.25">
      <c r="A186" s="13">
        <v>153</v>
      </c>
      <c r="B186" s="22" t="s">
        <v>181</v>
      </c>
      <c r="C186" s="15" t="s">
        <v>23</v>
      </c>
      <c r="D186" s="16">
        <v>-8.3000000000000007</v>
      </c>
      <c r="E186" s="17">
        <v>263.60000000000002</v>
      </c>
      <c r="F186" s="18">
        <f>AVERAGE(64.8193306,75.91109162)</f>
        <v>70.36521110999999</v>
      </c>
      <c r="G186" s="19">
        <f>STDEV(64.8193306,75.91109162)</f>
        <v>7.8430594325426117</v>
      </c>
      <c r="H186" s="18">
        <v>0.75281137500000006</v>
      </c>
      <c r="I186" s="19">
        <v>0.2698435389909466</v>
      </c>
      <c r="J186" s="18">
        <v>105.27777777777777</v>
      </c>
      <c r="K186" s="19">
        <v>76.132331794346385</v>
      </c>
      <c r="L186" s="18">
        <v>-0.86</v>
      </c>
      <c r="M186" s="19">
        <v>1.304693823059631</v>
      </c>
      <c r="N186" s="18" t="s">
        <v>24</v>
      </c>
      <c r="O186" s="20" t="s">
        <v>24</v>
      </c>
      <c r="P186" s="19" t="s">
        <v>24</v>
      </c>
      <c r="Q186" s="21" t="s">
        <v>194</v>
      </c>
    </row>
    <row r="187" spans="1:17" x14ac:dyDescent="0.25">
      <c r="A187" s="25">
        <v>154</v>
      </c>
      <c r="B187" s="26" t="s">
        <v>195</v>
      </c>
      <c r="C187" s="27" t="s">
        <v>23</v>
      </c>
      <c r="D187" s="28">
        <v>13.9</v>
      </c>
      <c r="E187" s="29">
        <v>29.8</v>
      </c>
      <c r="F187" s="30">
        <f>AVERAGE(52.62364129,55.21110303)</f>
        <v>53.917372159999999</v>
      </c>
      <c r="G187" s="31">
        <f>STDEV(52.62364129,55.21110303)</f>
        <v>1.8296117424147398</v>
      </c>
      <c r="H187" s="30">
        <v>1.2889865147142856</v>
      </c>
      <c r="I187" s="31">
        <v>0.33490485393114278</v>
      </c>
      <c r="J187" s="30">
        <v>142</v>
      </c>
      <c r="K187" s="31">
        <v>44.875754404058029</v>
      </c>
      <c r="L187" s="30">
        <v>-0.68</v>
      </c>
      <c r="M187" s="31">
        <v>1.1968972372041089</v>
      </c>
      <c r="N187" s="30">
        <v>9.1837009999999992</v>
      </c>
      <c r="O187" s="32">
        <v>128.333</v>
      </c>
      <c r="P187" s="31">
        <f>N188*(O187/1000)</f>
        <v>0.14419714046100002</v>
      </c>
      <c r="Q187" s="33" t="s">
        <v>196</v>
      </c>
    </row>
    <row r="188" spans="1:17" x14ac:dyDescent="0.25">
      <c r="A188" s="13">
        <v>155</v>
      </c>
      <c r="B188" s="22" t="s">
        <v>195</v>
      </c>
      <c r="C188" s="15" t="s">
        <v>23</v>
      </c>
      <c r="D188" s="16">
        <v>14</v>
      </c>
      <c r="E188" s="17">
        <v>28.3</v>
      </c>
      <c r="F188" s="18">
        <f>AVERAGE(13.24624874,12.02758036)</f>
        <v>12.63691455</v>
      </c>
      <c r="G188" s="19">
        <f>STDEV(13.24624874,12.02758036)</f>
        <v>0.86172867551562471</v>
      </c>
      <c r="H188" s="18">
        <v>0.51897687603999998</v>
      </c>
      <c r="I188" s="19">
        <v>0.21154881918777205</v>
      </c>
      <c r="J188" s="18">
        <v>27.7</v>
      </c>
      <c r="K188" s="19">
        <v>6.6764511531202002</v>
      </c>
      <c r="L188" s="18">
        <v>-1</v>
      </c>
      <c r="M188" s="19">
        <v>1.2543880788392558</v>
      </c>
      <c r="N188" s="18">
        <v>1.1236170000000001</v>
      </c>
      <c r="O188" s="20">
        <v>47.25</v>
      </c>
      <c r="P188" s="19">
        <f>N188*(O188/1000)</f>
        <v>5.3090903250000002E-2</v>
      </c>
      <c r="Q188" s="24" t="s">
        <v>197</v>
      </c>
    </row>
    <row r="189" spans="1:17" x14ac:dyDescent="0.25">
      <c r="A189" s="25">
        <v>156</v>
      </c>
      <c r="B189" s="26" t="s">
        <v>195</v>
      </c>
      <c r="C189" s="27" t="s">
        <v>23</v>
      </c>
      <c r="D189" s="28">
        <v>14.4</v>
      </c>
      <c r="E189" s="29">
        <v>27.6</v>
      </c>
      <c r="F189" s="30">
        <f>AVERAGE(27.71632073,35.53710021)</f>
        <v>31.626710469999999</v>
      </c>
      <c r="G189" s="31">
        <f>STDEV(27.71632073,35.53710021)</f>
        <v>5.5301262044725927</v>
      </c>
      <c r="H189" s="30">
        <v>0.44605663849999994</v>
      </c>
      <c r="I189" s="31">
        <v>0.10186095933761974</v>
      </c>
      <c r="J189" s="30">
        <v>35.111111111111114</v>
      </c>
      <c r="K189" s="31">
        <v>12.100562429536533</v>
      </c>
      <c r="L189" s="30">
        <v>-0.59</v>
      </c>
      <c r="M189" s="31">
        <v>1.2783192501401091</v>
      </c>
      <c r="N189" s="30" t="s">
        <v>24</v>
      </c>
      <c r="O189" s="32" t="s">
        <v>24</v>
      </c>
      <c r="P189" s="31" t="s">
        <v>24</v>
      </c>
      <c r="Q189" s="33" t="s">
        <v>198</v>
      </c>
    </row>
    <row r="190" spans="1:17" x14ac:dyDescent="0.25">
      <c r="A190" s="13">
        <v>157</v>
      </c>
      <c r="B190" s="22" t="s">
        <v>195</v>
      </c>
      <c r="C190" s="15" t="s">
        <v>23</v>
      </c>
      <c r="D190" s="16">
        <v>18.3</v>
      </c>
      <c r="E190" s="17">
        <v>28.2</v>
      </c>
      <c r="F190" s="18">
        <f>AVERAGE(45.96945482,46.33127156)</f>
        <v>46.15036319</v>
      </c>
      <c r="G190" s="19">
        <f>STDEV(45.96945482,46.33127156)</f>
        <v>0.25584307040080623</v>
      </c>
      <c r="H190" s="18">
        <v>0.239206481</v>
      </c>
      <c r="I190" s="19">
        <v>3.6231267673289359E-2</v>
      </c>
      <c r="J190" s="18">
        <v>18</v>
      </c>
      <c r="K190" s="19">
        <v>7.9021797274197985</v>
      </c>
      <c r="L190" s="18">
        <v>-0.68</v>
      </c>
      <c r="M190" s="19">
        <v>1.2272787281023314</v>
      </c>
      <c r="N190" s="18" t="s">
        <v>24</v>
      </c>
      <c r="O190" s="20" t="s">
        <v>24</v>
      </c>
      <c r="P190" s="19" t="s">
        <v>24</v>
      </c>
      <c r="Q190" s="24" t="s">
        <v>199</v>
      </c>
    </row>
    <row r="191" spans="1:17" x14ac:dyDescent="0.25">
      <c r="A191" s="25">
        <v>158</v>
      </c>
      <c r="B191" s="26" t="s">
        <v>195</v>
      </c>
      <c r="C191" s="27" t="s">
        <v>23</v>
      </c>
      <c r="D191" s="28">
        <v>19</v>
      </c>
      <c r="E191" s="29">
        <v>27.5</v>
      </c>
      <c r="F191" s="30">
        <f>AVERAGE(3.014382366,3.012114461)</f>
        <v>3.0132484134999999</v>
      </c>
      <c r="G191" s="31">
        <f>STDEV(3.014382366,3.012114461)</f>
        <v>1.6036510045869265E-3</v>
      </c>
      <c r="H191" s="30">
        <v>0.28273429800000005</v>
      </c>
      <c r="I191" s="31">
        <v>2.4119217698151452E-2</v>
      </c>
      <c r="J191" s="30">
        <v>25.5</v>
      </c>
      <c r="K191" s="31" t="s">
        <v>24</v>
      </c>
      <c r="L191" s="30">
        <v>-0.94</v>
      </c>
      <c r="M191" s="31">
        <v>1.2827207342887459</v>
      </c>
      <c r="N191" s="30">
        <v>0.210039</v>
      </c>
      <c r="O191" s="32">
        <v>29.5</v>
      </c>
      <c r="P191" s="31">
        <f>N191*(O191/1000)</f>
        <v>6.1961504999999998E-3</v>
      </c>
      <c r="Q191" s="33" t="s">
        <v>200</v>
      </c>
    </row>
    <row r="192" spans="1:17" x14ac:dyDescent="0.25">
      <c r="A192" s="13">
        <v>159</v>
      </c>
      <c r="B192" s="22" t="s">
        <v>195</v>
      </c>
      <c r="C192" s="15" t="s">
        <v>23</v>
      </c>
      <c r="D192" s="16">
        <v>19.7</v>
      </c>
      <c r="E192" s="17">
        <v>29.3</v>
      </c>
      <c r="F192" s="18">
        <f>AVERAGE(33.3342364,34.20810452)</f>
        <v>33.77117046</v>
      </c>
      <c r="G192" s="19">
        <f>STDEV(33.3342364,34.20810452)</f>
        <v>0.61791807351473782</v>
      </c>
      <c r="H192" s="18">
        <v>0.82634617825000012</v>
      </c>
      <c r="I192" s="19">
        <v>0.21709008920326175</v>
      </c>
      <c r="J192" s="18">
        <v>89.611111111111114</v>
      </c>
      <c r="K192" s="19">
        <v>40.693809247981584</v>
      </c>
      <c r="L192" s="18">
        <v>-0.81</v>
      </c>
      <c r="M192" s="19">
        <v>1.2150475819006648</v>
      </c>
      <c r="N192" s="18" t="s">
        <v>24</v>
      </c>
      <c r="O192" s="20" t="s">
        <v>24</v>
      </c>
      <c r="P192" s="19" t="s">
        <v>24</v>
      </c>
      <c r="Q192" s="24" t="s">
        <v>201</v>
      </c>
    </row>
    <row r="193" spans="1:17" x14ac:dyDescent="0.25">
      <c r="A193" s="25">
        <v>160</v>
      </c>
      <c r="B193" s="26" t="s">
        <v>195</v>
      </c>
      <c r="C193" s="27" t="s">
        <v>23</v>
      </c>
      <c r="D193" s="28">
        <v>23.2</v>
      </c>
      <c r="E193" s="29">
        <v>28.6</v>
      </c>
      <c r="F193" s="30">
        <f>AVERAGE(19.85034814,19.85128849)</f>
        <v>19.850818315000001</v>
      </c>
      <c r="G193" s="31">
        <f>STDEV(19.85034814,19.85128849)</f>
        <v>6.6492786168910814E-4</v>
      </c>
      <c r="H193" s="30">
        <v>0.39618260983333331</v>
      </c>
      <c r="I193" s="31">
        <v>0.11460316650736628</v>
      </c>
      <c r="J193" s="30">
        <v>16.175000000000001</v>
      </c>
      <c r="K193" s="31">
        <v>8.2924413373465189</v>
      </c>
      <c r="L193" s="30">
        <v>-0.02</v>
      </c>
      <c r="M193" s="31">
        <v>1.1766910974202645</v>
      </c>
      <c r="N193" s="30" t="s">
        <v>24</v>
      </c>
      <c r="O193" s="32" t="s">
        <v>24</v>
      </c>
      <c r="P193" s="31" t="s">
        <v>24</v>
      </c>
      <c r="Q193" s="33" t="s">
        <v>202</v>
      </c>
    </row>
    <row r="194" spans="1:17" x14ac:dyDescent="0.25">
      <c r="A194" s="13">
        <v>161</v>
      </c>
      <c r="B194" s="22" t="s">
        <v>195</v>
      </c>
      <c r="C194" s="15" t="s">
        <v>23</v>
      </c>
      <c r="D194" s="16">
        <v>28.4</v>
      </c>
      <c r="E194" s="17">
        <v>26.4</v>
      </c>
      <c r="F194" s="18">
        <f>AVERAGE(10.17121418,10.93761763)</f>
        <v>10.554415904999999</v>
      </c>
      <c r="G194" s="19">
        <f>STDEV(10.17121418,10.93761763)</f>
        <v>0.54192907661976542</v>
      </c>
      <c r="H194" s="18">
        <v>0.37338360183333341</v>
      </c>
      <c r="I194" s="19">
        <v>6.6979673839261761E-2</v>
      </c>
      <c r="J194" s="18">
        <v>61.125</v>
      </c>
      <c r="K194" s="19">
        <v>32.44198117959418</v>
      </c>
      <c r="L194" s="18">
        <v>-0.11</v>
      </c>
      <c r="M194" s="19">
        <v>1.5147686301053274</v>
      </c>
      <c r="N194" s="18" t="s">
        <v>24</v>
      </c>
      <c r="O194" s="20" t="s">
        <v>24</v>
      </c>
      <c r="P194" s="19" t="s">
        <v>24</v>
      </c>
      <c r="Q194" s="24" t="s">
        <v>203</v>
      </c>
    </row>
    <row r="195" spans="1:17" x14ac:dyDescent="0.25">
      <c r="A195" s="25">
        <v>162</v>
      </c>
      <c r="B195" s="26" t="s">
        <v>195</v>
      </c>
      <c r="C195" s="27" t="s">
        <v>23</v>
      </c>
      <c r="D195" s="28">
        <v>31.9</v>
      </c>
      <c r="E195" s="29">
        <v>28</v>
      </c>
      <c r="F195" s="30">
        <f>AVERAGE(218.6045006,204.7282211)</f>
        <v>211.66636084999999</v>
      </c>
      <c r="G195" s="31">
        <f>STDEV(218.6045006,204.7282211)</f>
        <v>9.8120113320898614</v>
      </c>
      <c r="H195" s="30">
        <v>0.77457358376190477</v>
      </c>
      <c r="I195" s="31">
        <v>0.13392964850962205</v>
      </c>
      <c r="J195" s="30">
        <v>96.131578947368425</v>
      </c>
      <c r="K195" s="31">
        <v>31.807512261371677</v>
      </c>
      <c r="L195" s="30">
        <v>0.02</v>
      </c>
      <c r="M195" s="31">
        <v>1.502163695110184</v>
      </c>
      <c r="N195" s="30" t="s">
        <v>24</v>
      </c>
      <c r="O195" s="32" t="s">
        <v>24</v>
      </c>
      <c r="P195" s="31" t="s">
        <v>24</v>
      </c>
      <c r="Q195" s="33" t="s">
        <v>204</v>
      </c>
    </row>
    <row r="196" spans="1:17" x14ac:dyDescent="0.25">
      <c r="A196" s="13">
        <v>163</v>
      </c>
      <c r="B196" s="22" t="s">
        <v>195</v>
      </c>
      <c r="C196" s="15" t="s">
        <v>23</v>
      </c>
      <c r="D196" s="16">
        <v>41.5</v>
      </c>
      <c r="E196" s="17">
        <v>21.2</v>
      </c>
      <c r="F196" s="18">
        <f>AVERAGE(73.45866607,73.36790837)</f>
        <v>73.413287220000001</v>
      </c>
      <c r="G196" s="19">
        <f>STDEV(73.45866607,73.36790837)</f>
        <v>6.4175385114902603E-2</v>
      </c>
      <c r="H196" s="18">
        <v>0.65891595100000011</v>
      </c>
      <c r="I196" s="19">
        <v>0.16114363152344705</v>
      </c>
      <c r="J196" s="18">
        <v>45.8125</v>
      </c>
      <c r="K196" s="19">
        <v>14.550251593308325</v>
      </c>
      <c r="L196" s="18">
        <v>-0.12</v>
      </c>
      <c r="M196" s="19">
        <v>1.3895394159228294</v>
      </c>
      <c r="N196" s="18" t="s">
        <v>24</v>
      </c>
      <c r="O196" s="20" t="s">
        <v>24</v>
      </c>
      <c r="P196" s="19" t="s">
        <v>24</v>
      </c>
      <c r="Q196" s="24" t="s">
        <v>205</v>
      </c>
    </row>
    <row r="197" spans="1:17" x14ac:dyDescent="0.25">
      <c r="A197" s="25">
        <v>164</v>
      </c>
      <c r="B197" s="26" t="s">
        <v>195</v>
      </c>
      <c r="C197" s="27" t="s">
        <v>23</v>
      </c>
      <c r="D197" s="28">
        <v>41.6</v>
      </c>
      <c r="E197" s="29">
        <v>23.2</v>
      </c>
      <c r="F197" s="30">
        <f>AVERAGE(14.9861102,15.85143561)</f>
        <v>15.418772905000001</v>
      </c>
      <c r="G197" s="31">
        <f>STDEV(14.9861102,15.85143561)</f>
        <v>0.61187746534402865</v>
      </c>
      <c r="H197" s="30">
        <v>0.22249652249999999</v>
      </c>
      <c r="I197" s="31">
        <v>3.2183958074638113E-3</v>
      </c>
      <c r="J197" s="30">
        <v>17.55</v>
      </c>
      <c r="K197" s="31">
        <v>3.7848381735551109</v>
      </c>
      <c r="L197" s="30">
        <v>-0.36</v>
      </c>
      <c r="M197" s="31">
        <v>1.2142991944282397</v>
      </c>
      <c r="N197" s="30" t="s">
        <v>24</v>
      </c>
      <c r="O197" s="32" t="s">
        <v>24</v>
      </c>
      <c r="P197" s="31" t="s">
        <v>24</v>
      </c>
      <c r="Q197" s="33" t="s">
        <v>206</v>
      </c>
    </row>
    <row r="198" spans="1:17" x14ac:dyDescent="0.25">
      <c r="A198" s="13">
        <v>165</v>
      </c>
      <c r="B198" s="22" t="s">
        <v>207</v>
      </c>
      <c r="C198" s="15" t="s">
        <v>85</v>
      </c>
      <c r="D198" s="16">
        <v>-1</v>
      </c>
      <c r="E198" s="17">
        <v>28.9</v>
      </c>
      <c r="F198" s="18">
        <f>AVERAGE(173.3211956,175.4360103)</f>
        <v>174.37860295000002</v>
      </c>
      <c r="G198" s="19">
        <f>STDEV(173.3211956,175.4360103)</f>
        <v>1.4953998153229817</v>
      </c>
      <c r="H198" s="18">
        <v>0.68135975155999995</v>
      </c>
      <c r="I198" s="19">
        <v>0.14015439662657708</v>
      </c>
      <c r="J198" s="18">
        <v>55.59375</v>
      </c>
      <c r="K198" s="19">
        <v>17.354364244573564</v>
      </c>
      <c r="L198" s="18">
        <v>-0.82</v>
      </c>
      <c r="M198" s="19">
        <v>1.0453059419263842</v>
      </c>
      <c r="N198" s="18" t="s">
        <v>24</v>
      </c>
      <c r="O198" s="20" t="s">
        <v>24</v>
      </c>
      <c r="P198" s="19" t="s">
        <v>24</v>
      </c>
      <c r="Q198" s="24" t="s">
        <v>208</v>
      </c>
    </row>
    <row r="199" spans="1:17" ht="30" x14ac:dyDescent="0.25">
      <c r="A199" s="25">
        <v>165</v>
      </c>
      <c r="B199" s="26" t="s">
        <v>207</v>
      </c>
      <c r="C199" s="27" t="s">
        <v>87</v>
      </c>
      <c r="D199" s="28">
        <v>-1</v>
      </c>
      <c r="E199" s="29">
        <v>28.9</v>
      </c>
      <c r="F199" s="30">
        <f>AVERAGE(205.3195647,223.3765322)</f>
        <v>214.34804845000002</v>
      </c>
      <c r="G199" s="31">
        <f>STDEV(205.3195647,223.3765322)</f>
        <v>12.76820416691511</v>
      </c>
      <c r="H199" s="30">
        <v>0.29187474285714282</v>
      </c>
      <c r="I199" s="31">
        <v>3.9530121675020582E-2</v>
      </c>
      <c r="J199" s="30">
        <v>16.625</v>
      </c>
      <c r="K199" s="31">
        <v>7.110731326663946</v>
      </c>
      <c r="L199" s="30">
        <v>-0.06</v>
      </c>
      <c r="M199" s="31">
        <v>1.0453059419263842</v>
      </c>
      <c r="N199" s="30" t="s">
        <v>24</v>
      </c>
      <c r="O199" s="32" t="s">
        <v>24</v>
      </c>
      <c r="P199" s="31" t="s">
        <v>24</v>
      </c>
      <c r="Q199" s="33" t="s">
        <v>209</v>
      </c>
    </row>
    <row r="200" spans="1:17" x14ac:dyDescent="0.25">
      <c r="A200" s="13">
        <v>166</v>
      </c>
      <c r="B200" s="22" t="s">
        <v>207</v>
      </c>
      <c r="C200" s="15" t="s">
        <v>23</v>
      </c>
      <c r="D200" s="16">
        <v>-0.6</v>
      </c>
      <c r="E200" s="17">
        <v>28.2</v>
      </c>
      <c r="F200" s="18">
        <f>AVERAGE(14.48659623,13.51929179)</f>
        <v>14.00294401</v>
      </c>
      <c r="G200" s="19">
        <f>STDEV(14.48659623,13.51929179)</f>
        <v>0.68398752899585558</v>
      </c>
      <c r="H200" s="18">
        <v>0.56304980799999993</v>
      </c>
      <c r="I200" s="19">
        <v>0.23520129019178984</v>
      </c>
      <c r="J200" s="18">
        <v>26.4</v>
      </c>
      <c r="K200" s="19">
        <v>15.505644133669518</v>
      </c>
      <c r="L200" s="18">
        <v>-0.06</v>
      </c>
      <c r="M200" s="19">
        <v>1.1409164263741196</v>
      </c>
      <c r="N200" s="18">
        <v>5.2383430000000004</v>
      </c>
      <c r="O200" s="20">
        <v>205.5</v>
      </c>
      <c r="P200" s="19">
        <f>N200*(O200/1000)</f>
        <v>1.0764794865</v>
      </c>
      <c r="Q200" s="24" t="s">
        <v>210</v>
      </c>
    </row>
    <row r="201" spans="1:17" x14ac:dyDescent="0.25">
      <c r="A201" s="25">
        <v>167</v>
      </c>
      <c r="B201" s="26" t="s">
        <v>207</v>
      </c>
      <c r="C201" s="27" t="s">
        <v>23</v>
      </c>
      <c r="D201" s="28">
        <v>12.3</v>
      </c>
      <c r="E201" s="29">
        <v>26.3</v>
      </c>
      <c r="F201" s="30">
        <f>AVERAGE(18.51991456,19.16050049)</f>
        <v>18.840207525</v>
      </c>
      <c r="G201" s="31">
        <f>STDEV(18.51991456,19.16050049)</f>
        <v>0.45296265503569128</v>
      </c>
      <c r="H201" s="30">
        <v>0.48035654362428576</v>
      </c>
      <c r="I201" s="31">
        <v>0.14438575018948202</v>
      </c>
      <c r="J201" s="30">
        <v>48.777777777777779</v>
      </c>
      <c r="K201" s="31">
        <v>32.967892629715422</v>
      </c>
      <c r="L201" s="30">
        <v>-0.6</v>
      </c>
      <c r="M201" s="31">
        <v>1.2015226221459754</v>
      </c>
      <c r="N201" s="30">
        <v>6.7929060000000003</v>
      </c>
      <c r="O201" s="32">
        <v>200</v>
      </c>
      <c r="P201" s="31">
        <f>N201*(O201/1000)</f>
        <v>1.3585812000000002</v>
      </c>
      <c r="Q201" s="33" t="s">
        <v>211</v>
      </c>
    </row>
    <row r="202" spans="1:17" ht="30" customHeight="1" x14ac:dyDescent="0.25">
      <c r="A202" s="13">
        <v>168</v>
      </c>
      <c r="B202" s="22" t="s">
        <v>212</v>
      </c>
      <c r="C202" s="15" t="s">
        <v>23</v>
      </c>
      <c r="D202" s="16">
        <v>-34.799999999999997</v>
      </c>
      <c r="E202" s="17">
        <v>145.30000000000001</v>
      </c>
      <c r="F202" s="18">
        <f>AVERAGE(7.711982126,7.763390395)</f>
        <v>7.7376862605000003</v>
      </c>
      <c r="G202" s="19">
        <f>STDEV(7.711982126,7.763390395)</f>
        <v>3.635113561896245E-2</v>
      </c>
      <c r="H202" s="18">
        <v>0.33310463671428575</v>
      </c>
      <c r="I202" s="19">
        <v>4.7295073193062857E-2</v>
      </c>
      <c r="J202" s="18">
        <v>6.5</v>
      </c>
      <c r="K202" s="19" t="s">
        <v>24</v>
      </c>
      <c r="L202" s="18">
        <v>-0.6</v>
      </c>
      <c r="M202" s="19">
        <v>1.2252682683715326</v>
      </c>
      <c r="N202" s="18" t="s">
        <v>24</v>
      </c>
      <c r="O202" s="20" t="s">
        <v>24</v>
      </c>
      <c r="P202" s="19" t="s">
        <v>24</v>
      </c>
      <c r="Q202" s="24" t="s">
        <v>213</v>
      </c>
    </row>
    <row r="203" spans="1:17" x14ac:dyDescent="0.25">
      <c r="A203" s="25">
        <v>169</v>
      </c>
      <c r="B203" s="26" t="s">
        <v>214</v>
      </c>
      <c r="C203" s="27" t="s">
        <v>23</v>
      </c>
      <c r="D203" s="28">
        <v>1.4</v>
      </c>
      <c r="E203" s="29">
        <v>83.2</v>
      </c>
      <c r="F203" s="30">
        <f>AVERAGE(24.50806694,26.10904806)</f>
        <v>25.308557499999999</v>
      </c>
      <c r="G203" s="31">
        <f>STDEV(24.50806694,26.10904806)</f>
        <v>1.1320646065036339</v>
      </c>
      <c r="H203" s="30">
        <v>1.0382798888333333</v>
      </c>
      <c r="I203" s="31">
        <v>0.3636613058709085</v>
      </c>
      <c r="J203" s="30">
        <v>52.875</v>
      </c>
      <c r="K203" s="31">
        <v>37.417409049799268</v>
      </c>
      <c r="L203" s="30">
        <v>-0.13</v>
      </c>
      <c r="M203" s="31">
        <v>1.1616358367046555</v>
      </c>
      <c r="N203" s="30">
        <v>5.9353879999999997</v>
      </c>
      <c r="O203" s="32">
        <v>126</v>
      </c>
      <c r="P203" s="31">
        <f>N203*(O203/1000)</f>
        <v>0.747858888</v>
      </c>
      <c r="Q203" s="33" t="s">
        <v>215</v>
      </c>
    </row>
    <row r="204" spans="1:17" x14ac:dyDescent="0.25">
      <c r="A204" s="13">
        <v>170</v>
      </c>
      <c r="B204" s="22" t="s">
        <v>216</v>
      </c>
      <c r="C204" s="15" t="s">
        <v>23</v>
      </c>
      <c r="D204" s="16">
        <v>-12.6</v>
      </c>
      <c r="E204" s="17">
        <v>38.6</v>
      </c>
      <c r="F204" s="18">
        <f>AVERAGE(16.92917219,16.91147409)</f>
        <v>16.920323140000001</v>
      </c>
      <c r="G204" s="19">
        <f>STDEV(16.92917219,16.91147409)</f>
        <v>1.2514446524117985E-2</v>
      </c>
      <c r="H204" s="18">
        <v>0.75755791416666673</v>
      </c>
      <c r="I204" s="19">
        <v>0.17632353997113584</v>
      </c>
      <c r="J204" s="18">
        <v>35.9</v>
      </c>
      <c r="K204" s="19">
        <v>27.148664792213999</v>
      </c>
      <c r="L204" s="18">
        <v>-0.42</v>
      </c>
      <c r="M204" s="19">
        <v>1.1115360061019586</v>
      </c>
      <c r="N204" s="18">
        <v>5.3758609999999996</v>
      </c>
      <c r="O204" s="20">
        <v>179</v>
      </c>
      <c r="P204" s="19">
        <f>N204*(O204/1000)</f>
        <v>0.96227911899999985</v>
      </c>
      <c r="Q204" s="24" t="s">
        <v>217</v>
      </c>
    </row>
    <row r="205" spans="1:17" x14ac:dyDescent="0.25">
      <c r="A205" s="25">
        <v>171</v>
      </c>
      <c r="B205" s="26" t="s">
        <v>218</v>
      </c>
      <c r="C205" s="27" t="s">
        <v>23</v>
      </c>
      <c r="D205" s="28">
        <v>-33.9</v>
      </c>
      <c r="E205" s="29">
        <v>343.3</v>
      </c>
      <c r="F205" s="30">
        <f>AVERAGE(9.825561909,8.908085935)</f>
        <v>9.366823922</v>
      </c>
      <c r="G205" s="31">
        <f>STDEV(9.825561909,8.908085935)</f>
        <v>0.64875348279113154</v>
      </c>
      <c r="H205" s="30">
        <v>0.41039652142857136</v>
      </c>
      <c r="I205" s="31">
        <v>6.6227393770256743E-2</v>
      </c>
      <c r="J205" s="30">
        <v>41.666666666666664</v>
      </c>
      <c r="K205" s="31">
        <v>17.387735140993307</v>
      </c>
      <c r="L205" s="30">
        <v>-1.2</v>
      </c>
      <c r="M205" s="31">
        <v>1.0948401349424848</v>
      </c>
      <c r="N205" s="30" t="s">
        <v>24</v>
      </c>
      <c r="O205" s="32" t="s">
        <v>24</v>
      </c>
      <c r="P205" s="31" t="s">
        <v>24</v>
      </c>
      <c r="Q205" s="33" t="s">
        <v>219</v>
      </c>
    </row>
    <row r="206" spans="1:17" x14ac:dyDescent="0.25">
      <c r="A206" s="13">
        <v>172</v>
      </c>
      <c r="B206" s="22" t="s">
        <v>218</v>
      </c>
      <c r="C206" s="15" t="s">
        <v>23</v>
      </c>
      <c r="D206" s="16">
        <v>-29.2</v>
      </c>
      <c r="E206" s="17">
        <v>335.1</v>
      </c>
      <c r="F206" s="18">
        <f>AVERAGE(13.85706744,11.83270012)</f>
        <v>12.84488378</v>
      </c>
      <c r="G206" s="19">
        <f>STDEV(13.85706744,11.83270012)</f>
        <v>1.4314438595844374</v>
      </c>
      <c r="H206" s="18">
        <v>0.66636815819999995</v>
      </c>
      <c r="I206" s="19">
        <v>0.16822971965707798</v>
      </c>
      <c r="J206" s="18">
        <v>79.375</v>
      </c>
      <c r="K206" s="19">
        <v>22.005207716962516</v>
      </c>
      <c r="L206" s="18">
        <v>-1.4</v>
      </c>
      <c r="M206" s="19">
        <v>1.2897741255832325</v>
      </c>
      <c r="N206" s="18">
        <v>7.3555679999999999</v>
      </c>
      <c r="O206" s="20">
        <v>129.5</v>
      </c>
      <c r="P206" s="19">
        <f>N206*(O206/1000)</f>
        <v>0.95254605599999997</v>
      </c>
      <c r="Q206" s="24" t="s">
        <v>220</v>
      </c>
    </row>
    <row r="207" spans="1:17" ht="30" x14ac:dyDescent="0.25">
      <c r="A207" s="25">
        <v>173</v>
      </c>
      <c r="B207" s="26" t="s">
        <v>218</v>
      </c>
      <c r="C207" s="27" t="s">
        <v>23</v>
      </c>
      <c r="D207" s="28">
        <v>-18.5</v>
      </c>
      <c r="E207" s="29">
        <v>335.2</v>
      </c>
      <c r="F207" s="30">
        <f>AVERAGE(75.09819458,76.37722327)</f>
        <v>75.737708924999993</v>
      </c>
      <c r="G207" s="31">
        <f>STDEV(75.09819458,76.37722327)</f>
        <v>0.90440986003114943</v>
      </c>
      <c r="H207" s="30">
        <v>0.25288973991666669</v>
      </c>
      <c r="I207" s="31">
        <v>6.6509644344707505E-2</v>
      </c>
      <c r="J207" s="30">
        <v>20</v>
      </c>
      <c r="K207" s="31">
        <v>16.096583488430085</v>
      </c>
      <c r="L207" s="30">
        <v>-0.17</v>
      </c>
      <c r="M207" s="31">
        <v>1.1304556493653828</v>
      </c>
      <c r="N207" s="30">
        <v>0.93313299999999999</v>
      </c>
      <c r="O207" s="32">
        <v>52</v>
      </c>
      <c r="P207" s="31">
        <f>N207*(O207/1000)</f>
        <v>4.8522915999999999E-2</v>
      </c>
      <c r="Q207" s="33" t="s">
        <v>221</v>
      </c>
    </row>
    <row r="208" spans="1:17" ht="30" x14ac:dyDescent="0.25">
      <c r="A208" s="13">
        <v>174</v>
      </c>
      <c r="B208" s="22" t="s">
        <v>218</v>
      </c>
      <c r="C208" s="15" t="s">
        <v>23</v>
      </c>
      <c r="D208" s="16">
        <v>-18.3</v>
      </c>
      <c r="E208" s="17">
        <v>336.9</v>
      </c>
      <c r="F208" s="18">
        <f>AVERAGE(5.599905859,5.22305559)</f>
        <v>5.4114807245000005</v>
      </c>
      <c r="G208" s="19">
        <f>STDEV(5.599905859,5.22305559)</f>
        <v>0.2664733807018741</v>
      </c>
      <c r="H208" s="18">
        <v>0.20756210250000001</v>
      </c>
      <c r="I208" s="19">
        <v>3.2419113320628044E-2</v>
      </c>
      <c r="J208" s="18">
        <v>14.125</v>
      </c>
      <c r="K208" s="19">
        <v>6.1871843353822911</v>
      </c>
      <c r="L208" s="18">
        <v>-0.03</v>
      </c>
      <c r="M208" s="19">
        <v>2.0894949520542241</v>
      </c>
      <c r="N208" s="18" t="s">
        <v>24</v>
      </c>
      <c r="O208" s="20" t="s">
        <v>24</v>
      </c>
      <c r="P208" s="19" t="s">
        <v>24</v>
      </c>
      <c r="Q208" s="24" t="s">
        <v>222</v>
      </c>
    </row>
    <row r="209" spans="1:17" ht="30" x14ac:dyDescent="0.25">
      <c r="A209" s="25">
        <v>175</v>
      </c>
      <c r="B209" s="26" t="s">
        <v>223</v>
      </c>
      <c r="C209" s="27" t="s">
        <v>51</v>
      </c>
      <c r="D209" s="28">
        <v>-3.1</v>
      </c>
      <c r="E209" s="29">
        <v>42.3</v>
      </c>
      <c r="F209" s="30">
        <f>AVERAGE(26.9229,26.68153252)</f>
        <v>26.802216260000002</v>
      </c>
      <c r="G209" s="31">
        <f>STDEV(26.9229,26.68153252)</f>
        <v>0.17067258186590656</v>
      </c>
      <c r="H209" s="30">
        <v>0.99647283561428579</v>
      </c>
      <c r="I209" s="31">
        <v>0.22460497166410079</v>
      </c>
      <c r="J209" s="30">
        <v>69</v>
      </c>
      <c r="K209" s="31">
        <v>8.8881944173155887</v>
      </c>
      <c r="L209" s="30">
        <v>0.52</v>
      </c>
      <c r="M209" s="31">
        <v>1.1273890385346277</v>
      </c>
      <c r="N209" s="30">
        <v>7.7983409999999997</v>
      </c>
      <c r="O209" s="32">
        <v>346</v>
      </c>
      <c r="P209" s="31">
        <f>N209*(O209/1000)</f>
        <v>2.6982259859999997</v>
      </c>
      <c r="Q209" s="33" t="s">
        <v>224</v>
      </c>
    </row>
    <row r="210" spans="1:17" x14ac:dyDescent="0.25">
      <c r="A210" s="13">
        <v>175</v>
      </c>
      <c r="B210" s="22" t="s">
        <v>223</v>
      </c>
      <c r="C210" s="15" t="s">
        <v>225</v>
      </c>
      <c r="D210" s="16">
        <v>-3.1</v>
      </c>
      <c r="E210" s="17">
        <v>42.3</v>
      </c>
      <c r="F210" s="18">
        <f>AVERAGE(17.32119058,17.67042116)</f>
        <v>17.495805869999998</v>
      </c>
      <c r="G210" s="19">
        <f>STDEV(17.32119058,17.67042116)</f>
        <v>0.24694331131571137</v>
      </c>
      <c r="H210" s="18">
        <v>0.68728638520000007</v>
      </c>
      <c r="I210" s="19">
        <v>9.0469907494448623E-2</v>
      </c>
      <c r="J210" s="18">
        <v>65</v>
      </c>
      <c r="K210" s="19">
        <v>37.262581767773419</v>
      </c>
      <c r="L210" s="18">
        <v>-0.28999999999999998</v>
      </c>
      <c r="M210" s="19">
        <v>1.1273890385346277</v>
      </c>
      <c r="N210" s="18">
        <v>7.7983409999999997</v>
      </c>
      <c r="O210" s="20">
        <v>346</v>
      </c>
      <c r="P210" s="19">
        <f>N210*(O210/1000)</f>
        <v>2.6982259859999997</v>
      </c>
      <c r="Q210" s="24" t="s">
        <v>226</v>
      </c>
    </row>
    <row r="211" spans="1:17" x14ac:dyDescent="0.25">
      <c r="A211" s="25">
        <v>176</v>
      </c>
      <c r="B211" s="26" t="s">
        <v>227</v>
      </c>
      <c r="C211" s="27" t="s">
        <v>23</v>
      </c>
      <c r="D211" s="28">
        <v>-48.2</v>
      </c>
      <c r="E211" s="29">
        <v>87.8</v>
      </c>
      <c r="F211" s="30">
        <f>AVERAGE(35.55782305,32.02095421)</f>
        <v>33.789388630000005</v>
      </c>
      <c r="G211" s="31">
        <f>STDEV(35.55782305,32.02095421)</f>
        <v>2.5009439409314012</v>
      </c>
      <c r="H211" s="30">
        <v>0.69635050111111108</v>
      </c>
      <c r="I211" s="31">
        <v>0.35479835143467486</v>
      </c>
      <c r="J211" s="30">
        <v>34.5</v>
      </c>
      <c r="K211" s="31">
        <v>12.267844146385297</v>
      </c>
      <c r="L211" s="30">
        <v>-1.2</v>
      </c>
      <c r="M211" s="31">
        <v>1.3946485510822582</v>
      </c>
      <c r="N211" s="30">
        <v>12.430534</v>
      </c>
      <c r="O211" s="32">
        <v>121</v>
      </c>
      <c r="P211" s="31">
        <f>N211*(O211/1000)</f>
        <v>1.504094614</v>
      </c>
      <c r="Q211" s="33" t="s">
        <v>243</v>
      </c>
    </row>
    <row r="212" spans="1:17" x14ac:dyDescent="0.25">
      <c r="A212" s="13">
        <v>177</v>
      </c>
      <c r="B212" s="22" t="s">
        <v>228</v>
      </c>
      <c r="C212" s="15" t="s">
        <v>23</v>
      </c>
      <c r="D212" s="16">
        <v>3.6</v>
      </c>
      <c r="E212" s="17">
        <v>353.9</v>
      </c>
      <c r="F212" s="18">
        <f>AVERAGE(9.12831523,8.204142112)</f>
        <v>8.6662286709999989</v>
      </c>
      <c r="G212" s="19">
        <f>STDEV(9.12831523,8.204142112)</f>
        <v>0.65348907872811579</v>
      </c>
      <c r="H212" s="18">
        <v>0.32461910283333334</v>
      </c>
      <c r="I212" s="19">
        <v>7.2808201940190775E-2</v>
      </c>
      <c r="J212" s="18">
        <v>31.3</v>
      </c>
      <c r="K212" s="19">
        <v>4.685082710048996</v>
      </c>
      <c r="L212" s="18">
        <v>-0.33</v>
      </c>
      <c r="M212" s="19">
        <v>1.140188358443901</v>
      </c>
      <c r="N212" s="18">
        <v>2.1483240000000001</v>
      </c>
      <c r="O212" s="20">
        <v>56</v>
      </c>
      <c r="P212" s="19">
        <f>N212*(O212/1000)</f>
        <v>0.120306144</v>
      </c>
      <c r="Q212" s="24" t="s">
        <v>229</v>
      </c>
    </row>
    <row r="213" spans="1:17" ht="15" customHeight="1" x14ac:dyDescent="0.25">
      <c r="A213" s="25">
        <v>178</v>
      </c>
      <c r="B213" s="26" t="s">
        <v>228</v>
      </c>
      <c r="C213" s="27" t="s">
        <v>23</v>
      </c>
      <c r="D213" s="28">
        <v>4.5</v>
      </c>
      <c r="E213" s="29">
        <v>359.3</v>
      </c>
      <c r="F213" s="30">
        <f>AVERAGE(16.3664329,16.73631457)</f>
        <v>16.551373734999999</v>
      </c>
      <c r="G213" s="31">
        <f>STDEV(16.3664329,16.73631457)</f>
        <v>0.2615458370936059</v>
      </c>
      <c r="H213" s="30">
        <v>0.56232475999999998</v>
      </c>
      <c r="I213" s="31">
        <v>0.23448271493416348</v>
      </c>
      <c r="J213" s="30">
        <v>35.333333333333336</v>
      </c>
      <c r="K213" s="31">
        <v>26.383391240197557</v>
      </c>
      <c r="L213" s="30">
        <v>-0.63</v>
      </c>
      <c r="M213" s="31">
        <v>1.2046617374650834</v>
      </c>
      <c r="N213" s="30" t="s">
        <v>24</v>
      </c>
      <c r="O213" s="32" t="s">
        <v>24</v>
      </c>
      <c r="P213" s="31" t="s">
        <v>24</v>
      </c>
      <c r="Q213" s="33" t="s">
        <v>230</v>
      </c>
    </row>
    <row r="214" spans="1:17" ht="15" customHeight="1" x14ac:dyDescent="0.25">
      <c r="A214" s="13">
        <v>179</v>
      </c>
      <c r="B214" s="22" t="s">
        <v>228</v>
      </c>
      <c r="C214" s="15" t="s">
        <v>23</v>
      </c>
      <c r="D214" s="16">
        <v>4.9000000000000004</v>
      </c>
      <c r="E214" s="17">
        <v>359.4</v>
      </c>
      <c r="F214" s="18">
        <f>AVERAGE(11.3300604,11.23036993)</f>
        <v>11.280215165000001</v>
      </c>
      <c r="G214" s="19">
        <f>STDEV(11.3300604,11.23036993)</f>
        <v>7.0491807356674457E-2</v>
      </c>
      <c r="H214" s="18">
        <v>0.54009227357142853</v>
      </c>
      <c r="I214" s="19">
        <v>0.23319741970200092</v>
      </c>
      <c r="J214" s="18">
        <v>61</v>
      </c>
      <c r="K214" s="19" t="s">
        <v>24</v>
      </c>
      <c r="L214" s="18">
        <v>-0.4</v>
      </c>
      <c r="M214" s="19">
        <v>1.1206046422728857</v>
      </c>
      <c r="N214" s="18" t="s">
        <v>24</v>
      </c>
      <c r="O214" s="20" t="s">
        <v>24</v>
      </c>
      <c r="P214" s="19" t="s">
        <v>24</v>
      </c>
      <c r="Q214" s="24" t="s">
        <v>230</v>
      </c>
    </row>
    <row r="215" spans="1:17" ht="15" customHeight="1" x14ac:dyDescent="0.25">
      <c r="A215" s="25">
        <v>180</v>
      </c>
      <c r="B215" s="26" t="s">
        <v>228</v>
      </c>
      <c r="C215" s="27" t="s">
        <v>23</v>
      </c>
      <c r="D215" s="28">
        <v>5</v>
      </c>
      <c r="E215" s="29">
        <v>359.2</v>
      </c>
      <c r="F215" s="30">
        <f>AVERAGE(14.2794828,14.22271805)</f>
        <v>14.251100425000001</v>
      </c>
      <c r="G215" s="31">
        <f>STDEV(14.2794828,14.22271805)</f>
        <v>4.0138739657359798E-2</v>
      </c>
      <c r="H215" s="30">
        <v>0.43516892139999996</v>
      </c>
      <c r="I215" s="31">
        <v>7.3745823974457725E-2</v>
      </c>
      <c r="J215" s="30">
        <v>26.5</v>
      </c>
      <c r="K215" s="31" t="s">
        <v>24</v>
      </c>
      <c r="L215" s="30">
        <v>-0.36</v>
      </c>
      <c r="M215" s="31">
        <v>1.0862242097206529</v>
      </c>
      <c r="N215" s="30" t="s">
        <v>24</v>
      </c>
      <c r="O215" s="32" t="s">
        <v>24</v>
      </c>
      <c r="P215" s="31" t="s">
        <v>24</v>
      </c>
      <c r="Q215" s="33" t="s">
        <v>230</v>
      </c>
    </row>
    <row r="216" spans="1:17" ht="15" customHeight="1" x14ac:dyDescent="0.25">
      <c r="A216" s="13">
        <v>181</v>
      </c>
      <c r="B216" s="22" t="s">
        <v>228</v>
      </c>
      <c r="C216" s="15" t="s">
        <v>23</v>
      </c>
      <c r="D216" s="16">
        <v>5.0999999999999996</v>
      </c>
      <c r="E216" s="17">
        <v>359.3</v>
      </c>
      <c r="F216" s="18">
        <f>AVERAGE(12.05639927,11.61962812)</f>
        <v>11.838013695000001</v>
      </c>
      <c r="G216" s="19">
        <f>STDEV(12.05639927,11.61962812)</f>
        <v>0.30884384199164688</v>
      </c>
      <c r="H216" s="18">
        <v>0.43665253266666665</v>
      </c>
      <c r="I216" s="19">
        <v>1.012392032057143E-2</v>
      </c>
      <c r="J216" s="18">
        <v>56.25</v>
      </c>
      <c r="K216" s="19">
        <v>39.953097501945955</v>
      </c>
      <c r="L216" s="18">
        <v>-0.9</v>
      </c>
      <c r="M216" s="19">
        <v>1.1247347434749333</v>
      </c>
      <c r="N216" s="18" t="s">
        <v>24</v>
      </c>
      <c r="O216" s="20" t="s">
        <v>24</v>
      </c>
      <c r="P216" s="19" t="s">
        <v>24</v>
      </c>
      <c r="Q216" s="24" t="s">
        <v>230</v>
      </c>
    </row>
    <row r="217" spans="1:17" ht="15" customHeight="1" x14ac:dyDescent="0.25">
      <c r="A217" s="25">
        <v>182</v>
      </c>
      <c r="B217" s="26" t="s">
        <v>228</v>
      </c>
      <c r="C217" s="27" t="s">
        <v>23</v>
      </c>
      <c r="D217" s="28">
        <v>5.3</v>
      </c>
      <c r="E217" s="29">
        <v>359.1</v>
      </c>
      <c r="F217" s="30">
        <f>AVERAGE(7.76364579,7.079429051)</f>
        <v>7.4215374205</v>
      </c>
      <c r="G217" s="31">
        <f>STDEV(7.76364579,7.079429051)</f>
        <v>0.4838142959482461</v>
      </c>
      <c r="H217" s="30">
        <v>0.6122753173333334</v>
      </c>
      <c r="I217" s="31">
        <v>0.11723527025055509</v>
      </c>
      <c r="J217" s="30">
        <v>75</v>
      </c>
      <c r="K217" s="31">
        <v>9.8994949366116654</v>
      </c>
      <c r="L217" s="30">
        <v>-1.3</v>
      </c>
      <c r="M217" s="31">
        <v>1.0756388032829223</v>
      </c>
      <c r="N217" s="30" t="s">
        <v>24</v>
      </c>
      <c r="O217" s="32" t="s">
        <v>24</v>
      </c>
      <c r="P217" s="31" t="s">
        <v>24</v>
      </c>
      <c r="Q217" s="33" t="s">
        <v>230</v>
      </c>
    </row>
    <row r="218" spans="1:17" x14ac:dyDescent="0.25">
      <c r="A218" s="13">
        <v>183</v>
      </c>
      <c r="B218" s="22" t="s">
        <v>228</v>
      </c>
      <c r="C218" s="15" t="s">
        <v>23</v>
      </c>
      <c r="D218" s="16">
        <v>6.5</v>
      </c>
      <c r="E218" s="17">
        <v>351</v>
      </c>
      <c r="F218" s="18">
        <f>AVERAGE(24.75133176,24.91159051)</f>
        <v>24.831461134999998</v>
      </c>
      <c r="G218" s="19">
        <f>STDEV(24.75133176,24.91159051)</f>
        <v>0.11332004886948002</v>
      </c>
      <c r="H218" s="18">
        <v>0.48928198742857149</v>
      </c>
      <c r="I218" s="19">
        <v>2.7701190863418979E-2</v>
      </c>
      <c r="J218" s="18">
        <v>36.024999999999999</v>
      </c>
      <c r="K218" s="19">
        <v>11.471250295121857</v>
      </c>
      <c r="L218" s="18">
        <v>-0.28000000000000003</v>
      </c>
      <c r="M218" s="19">
        <v>1.088206327932659</v>
      </c>
      <c r="N218" s="18" t="s">
        <v>24</v>
      </c>
      <c r="O218" s="20" t="s">
        <v>24</v>
      </c>
      <c r="P218" s="19" t="s">
        <v>24</v>
      </c>
      <c r="Q218" s="24" t="s">
        <v>231</v>
      </c>
    </row>
    <row r="219" spans="1:17" x14ac:dyDescent="0.25">
      <c r="A219" s="25">
        <v>184</v>
      </c>
      <c r="B219" s="26" t="s">
        <v>228</v>
      </c>
      <c r="C219" s="27" t="s">
        <v>23</v>
      </c>
      <c r="D219" s="28">
        <v>6.5</v>
      </c>
      <c r="E219" s="29">
        <v>1.5</v>
      </c>
      <c r="F219" s="30">
        <f>AVERAGE(62.60433612,61.92586192)</f>
        <v>62.265099020000001</v>
      </c>
      <c r="G219" s="31">
        <f>STDEV(62.60433612,61.92586192)</f>
        <v>0.47975370768011544</v>
      </c>
      <c r="H219" s="30">
        <v>0.41106822114285713</v>
      </c>
      <c r="I219" s="31">
        <v>0.10063945853280604</v>
      </c>
      <c r="J219" s="30">
        <v>38.227272727272727</v>
      </c>
      <c r="K219" s="31">
        <v>12.703077651426909</v>
      </c>
      <c r="L219" s="30">
        <v>-0.12</v>
      </c>
      <c r="M219" s="31">
        <v>1.1468773138475483</v>
      </c>
      <c r="N219" s="30" t="s">
        <v>24</v>
      </c>
      <c r="O219" s="32" t="s">
        <v>24</v>
      </c>
      <c r="P219" s="31" t="s">
        <v>24</v>
      </c>
      <c r="Q219" s="33" t="s">
        <v>232</v>
      </c>
    </row>
    <row r="220" spans="1:17" x14ac:dyDescent="0.25">
      <c r="A220" s="13">
        <v>185</v>
      </c>
      <c r="B220" s="22" t="s">
        <v>228</v>
      </c>
      <c r="C220" s="15" t="s">
        <v>23</v>
      </c>
      <c r="D220" s="16">
        <v>6.6</v>
      </c>
      <c r="E220" s="17">
        <v>1.5</v>
      </c>
      <c r="F220" s="18">
        <f>AVERAGE(17.11574523,17.51311053)</f>
        <v>17.31442788</v>
      </c>
      <c r="G220" s="19">
        <f>STDEV(17.11574523,17.51311053)</f>
        <v>0.28097969823822472</v>
      </c>
      <c r="H220" s="18">
        <v>0.50769206074999995</v>
      </c>
      <c r="I220" s="19">
        <v>9.4007218552344438E-2</v>
      </c>
      <c r="J220" s="18">
        <v>49.428571428571431</v>
      </c>
      <c r="K220" s="19">
        <v>22.344702152539746</v>
      </c>
      <c r="L220" s="18">
        <v>-0.19</v>
      </c>
      <c r="M220" s="19">
        <v>1.1486109606271209</v>
      </c>
      <c r="N220" s="18" t="s">
        <v>24</v>
      </c>
      <c r="O220" s="20" t="s">
        <v>24</v>
      </c>
      <c r="P220" s="19" t="s">
        <v>24</v>
      </c>
      <c r="Q220" s="24" t="s">
        <v>232</v>
      </c>
    </row>
    <row r="221" spans="1:17" ht="30" x14ac:dyDescent="0.25">
      <c r="A221" s="25">
        <v>186</v>
      </c>
      <c r="B221" s="26" t="s">
        <v>228</v>
      </c>
      <c r="C221" s="27" t="s">
        <v>23</v>
      </c>
      <c r="D221" s="28">
        <v>6.7</v>
      </c>
      <c r="E221" s="29">
        <v>356.8</v>
      </c>
      <c r="F221" s="30">
        <f>AVERAGE(109.4703346,107.907456)</f>
        <v>108.6888953</v>
      </c>
      <c r="G221" s="31">
        <f>STDEV(109.4703346,107.907456)</f>
        <v>1.1051220562313411</v>
      </c>
      <c r="H221" s="30">
        <v>0.87219913674999994</v>
      </c>
      <c r="I221" s="31">
        <v>0.17839635810572341</v>
      </c>
      <c r="J221" s="30">
        <v>99.5</v>
      </c>
      <c r="K221" s="31">
        <v>36.136315990058165</v>
      </c>
      <c r="L221" s="30">
        <v>-0.26</v>
      </c>
      <c r="M221" s="31">
        <v>1.5971977832464015</v>
      </c>
      <c r="N221" s="30">
        <v>15.142275</v>
      </c>
      <c r="O221" s="32">
        <v>405.83330000000001</v>
      </c>
      <c r="P221" s="31">
        <f>N221*(O221/1000)</f>
        <v>6.1452394327575002</v>
      </c>
      <c r="Q221" s="33" t="s">
        <v>233</v>
      </c>
    </row>
    <row r="222" spans="1:17" ht="15" customHeight="1" x14ac:dyDescent="0.25">
      <c r="A222" s="13">
        <v>187</v>
      </c>
      <c r="B222" s="22" t="s">
        <v>228</v>
      </c>
      <c r="C222" s="15" t="s">
        <v>23</v>
      </c>
      <c r="D222" s="16">
        <v>9.4</v>
      </c>
      <c r="E222" s="17">
        <v>357.2</v>
      </c>
      <c r="F222" s="18">
        <f>AVERAGE(139.6383843,137.4297408)</f>
        <v>138.53406254999999</v>
      </c>
      <c r="G222" s="19">
        <f>STDEV(139.6383843,137.4297408)</f>
        <v>1.5617467960736062</v>
      </c>
      <c r="H222" s="18">
        <v>0.66866016017391294</v>
      </c>
      <c r="I222" s="19">
        <v>0.10774421532015963</v>
      </c>
      <c r="J222" s="18">
        <v>75.40625</v>
      </c>
      <c r="K222" s="19">
        <v>21.488926411836708</v>
      </c>
      <c r="L222" s="18">
        <v>-0.1</v>
      </c>
      <c r="M222" s="19">
        <v>1.6082541272267556</v>
      </c>
      <c r="N222" s="18" t="s">
        <v>24</v>
      </c>
      <c r="O222" s="20" t="s">
        <v>24</v>
      </c>
      <c r="P222" s="19" t="s">
        <v>24</v>
      </c>
      <c r="Q222" s="24" t="s">
        <v>262</v>
      </c>
    </row>
    <row r="223" spans="1:17" x14ac:dyDescent="0.25">
      <c r="A223" s="25">
        <v>188</v>
      </c>
      <c r="B223" s="26" t="s">
        <v>228</v>
      </c>
      <c r="C223" s="27" t="s">
        <v>23</v>
      </c>
      <c r="D223" s="28">
        <v>9.6999999999999993</v>
      </c>
      <c r="E223" s="29">
        <v>354.3</v>
      </c>
      <c r="F223" s="30">
        <f>AVERAGE(22.25327276,21.94308658)</f>
        <v>22.09817967</v>
      </c>
      <c r="G223" s="31">
        <f>STDEV(22.25327276,21.94308658)</f>
        <v>0.21933475130835267</v>
      </c>
      <c r="H223" s="30">
        <v>0.4678789413333333</v>
      </c>
      <c r="I223" s="31">
        <v>0.13516442391477124</v>
      </c>
      <c r="J223" s="30">
        <v>41.7</v>
      </c>
      <c r="K223" s="31">
        <v>15.478210490880391</v>
      </c>
      <c r="L223" s="30">
        <v>-0.26</v>
      </c>
      <c r="M223" s="31">
        <v>1.0751980926660558</v>
      </c>
      <c r="N223" s="30" t="s">
        <v>24</v>
      </c>
      <c r="O223" s="32" t="s">
        <v>24</v>
      </c>
      <c r="P223" s="31" t="s">
        <v>24</v>
      </c>
      <c r="Q223" s="33" t="s">
        <v>234</v>
      </c>
    </row>
    <row r="224" spans="1:17" ht="15" customHeight="1" x14ac:dyDescent="0.25">
      <c r="A224" s="13">
        <v>189</v>
      </c>
      <c r="B224" s="22" t="s">
        <v>228</v>
      </c>
      <c r="C224" s="15" t="s">
        <v>23</v>
      </c>
      <c r="D224" s="16">
        <v>10.6</v>
      </c>
      <c r="E224" s="17">
        <v>356.7</v>
      </c>
      <c r="F224" s="18">
        <f>AVERAGE(31.87869626,31.7146446)</f>
        <v>31.796670429999999</v>
      </c>
      <c r="G224" s="19">
        <f>STDEV(31.87869626,31.7146446)</f>
        <v>0.11600204125091125</v>
      </c>
      <c r="H224" s="18">
        <v>0.20015036529999997</v>
      </c>
      <c r="I224" s="19">
        <v>2.4108892804740722E-2</v>
      </c>
      <c r="J224" s="18">
        <v>22.25</v>
      </c>
      <c r="K224" s="19">
        <v>9.2234174019952366</v>
      </c>
      <c r="L224" s="18">
        <v>-0.19</v>
      </c>
      <c r="M224" s="19">
        <v>1.1329894122821842</v>
      </c>
      <c r="N224" s="18">
        <f>SUM(1.910932,1.319859,0.411503)</f>
        <v>3.6422940000000001</v>
      </c>
      <c r="O224" s="20">
        <v>37.625</v>
      </c>
      <c r="P224" s="19">
        <f>N224*(O224/1000)</f>
        <v>0.13704131175000001</v>
      </c>
      <c r="Q224" s="24" t="s">
        <v>263</v>
      </c>
    </row>
    <row r="225" spans="1:17" x14ac:dyDescent="0.25">
      <c r="A225" s="25">
        <v>190</v>
      </c>
      <c r="B225" s="26" t="s">
        <v>228</v>
      </c>
      <c r="C225" s="27" t="s">
        <v>23</v>
      </c>
      <c r="D225" s="28">
        <v>13.2</v>
      </c>
      <c r="E225" s="29">
        <v>354.8</v>
      </c>
      <c r="F225" s="30">
        <f>AVERAGE(8.774935026,8.79404884)</f>
        <v>8.784491933</v>
      </c>
      <c r="G225" s="31">
        <f>STDEV(8.774935026,8.79404884)</f>
        <v>1.3515507493738844E-2</v>
      </c>
      <c r="H225" s="30">
        <v>0.28707781960000001</v>
      </c>
      <c r="I225" s="31">
        <v>1.8608419956008107E-2</v>
      </c>
      <c r="J225" s="30" t="s">
        <v>54</v>
      </c>
      <c r="K225" s="31" t="s">
        <v>54</v>
      </c>
      <c r="L225" s="30">
        <v>-0.62</v>
      </c>
      <c r="M225" s="31">
        <v>1.1049763453476684</v>
      </c>
      <c r="N225" s="30">
        <v>0.67141799999999996</v>
      </c>
      <c r="O225" s="32" t="s">
        <v>54</v>
      </c>
      <c r="P225" s="31" t="s">
        <v>54</v>
      </c>
      <c r="Q225" s="33" t="s">
        <v>235</v>
      </c>
    </row>
    <row r="226" spans="1:17" x14ac:dyDescent="0.25">
      <c r="A226" s="13">
        <v>191</v>
      </c>
      <c r="B226" s="22" t="s">
        <v>236</v>
      </c>
      <c r="C226" s="15" t="s">
        <v>23</v>
      </c>
      <c r="D226" s="16">
        <v>-33.5</v>
      </c>
      <c r="E226" s="17">
        <v>143.5</v>
      </c>
      <c r="F226" s="18">
        <f>AVERAGE(50.97388535,46.73643754)</f>
        <v>48.855161445</v>
      </c>
      <c r="G226" s="19">
        <f>STDEV(50.97388535,46.73643754)</f>
        <v>2.9963280813750894</v>
      </c>
      <c r="H226" s="18">
        <v>1.3860877182499998</v>
      </c>
      <c r="I226" s="19">
        <v>0.46248613083139223</v>
      </c>
      <c r="J226" s="18">
        <v>188.78571428571428</v>
      </c>
      <c r="K226" s="19">
        <v>41.37114246152057</v>
      </c>
      <c r="L226" s="18">
        <v>-0.04</v>
      </c>
      <c r="M226" s="19">
        <v>1.2274402486906775</v>
      </c>
      <c r="N226" s="18">
        <v>10.832490999999999</v>
      </c>
      <c r="O226" s="20">
        <v>353.25</v>
      </c>
      <c r="P226" s="19">
        <f>N226*(O226/1000)</f>
        <v>3.8265774457499999</v>
      </c>
      <c r="Q226" s="24" t="s">
        <v>237</v>
      </c>
    </row>
    <row r="227" spans="1:17" x14ac:dyDescent="0.25">
      <c r="A227" s="25">
        <v>192</v>
      </c>
      <c r="B227" s="26" t="s">
        <v>236</v>
      </c>
      <c r="C227" s="27" t="s">
        <v>23</v>
      </c>
      <c r="D227" s="28">
        <v>-31.4</v>
      </c>
      <c r="E227" s="29">
        <v>161.69999999999999</v>
      </c>
      <c r="F227" s="30">
        <f>AVERAGE(25.1139041,23.7428946)</f>
        <v>24.428399349999999</v>
      </c>
      <c r="G227" s="31">
        <f>STDEV(25.1139041,23.7428946)</f>
        <v>0.96945011452117757</v>
      </c>
      <c r="H227" s="30">
        <v>0.55874221539999991</v>
      </c>
      <c r="I227" s="31">
        <v>9.3020860334198319E-2</v>
      </c>
      <c r="J227" s="30">
        <v>51.666666666666664</v>
      </c>
      <c r="K227" s="31">
        <v>11.150485789118495</v>
      </c>
      <c r="L227" s="30">
        <v>-0.14000000000000001</v>
      </c>
      <c r="M227" s="31">
        <v>1.4482913556333767</v>
      </c>
      <c r="N227" s="30" t="s">
        <v>24</v>
      </c>
      <c r="O227" s="32" t="s">
        <v>24</v>
      </c>
      <c r="P227" s="31" t="s">
        <v>24</v>
      </c>
      <c r="Q227" s="33" t="s">
        <v>238</v>
      </c>
    </row>
    <row r="228" spans="1:17" x14ac:dyDescent="0.25">
      <c r="A228" s="13">
        <v>193</v>
      </c>
      <c r="B228" s="22" t="s">
        <v>236</v>
      </c>
      <c r="C228" s="15" t="s">
        <v>23</v>
      </c>
      <c r="D228" s="16">
        <v>-28.6</v>
      </c>
      <c r="E228" s="17">
        <v>161</v>
      </c>
      <c r="F228" s="18">
        <f>AVERAGE(85.18904513,93.13803208)</f>
        <v>89.163538604999999</v>
      </c>
      <c r="G228" s="19">
        <f>STDEV(85.18904513,93.13803208)</f>
        <v>5.6207825759083754</v>
      </c>
      <c r="H228" s="18">
        <v>0.86336450618181837</v>
      </c>
      <c r="I228" s="19">
        <v>0.31405233388112347</v>
      </c>
      <c r="J228" s="18">
        <v>66.5625</v>
      </c>
      <c r="K228" s="19">
        <v>32.646852287559277</v>
      </c>
      <c r="L228" s="18">
        <v>-0.16</v>
      </c>
      <c r="M228" s="19">
        <v>1.3511082626672077</v>
      </c>
      <c r="N228" s="18">
        <v>0.64841599999999999</v>
      </c>
      <c r="O228" s="20">
        <v>29.5</v>
      </c>
      <c r="P228" s="19">
        <f>N228*(O228/1000)</f>
        <v>1.9128271999999998E-2</v>
      </c>
      <c r="Q228" s="24" t="s">
        <v>239</v>
      </c>
    </row>
    <row r="229" spans="1:17" x14ac:dyDescent="0.25">
      <c r="A229" s="36">
        <v>194</v>
      </c>
      <c r="B229" s="37" t="s">
        <v>236</v>
      </c>
      <c r="C229" s="38" t="s">
        <v>23</v>
      </c>
      <c r="D229" s="39">
        <v>-26.9</v>
      </c>
      <c r="E229" s="40">
        <v>164.4</v>
      </c>
      <c r="F229" s="41">
        <f>AVERAGE(63.8216487,58.0894315)</f>
        <v>60.9555401</v>
      </c>
      <c r="G229" s="42">
        <f>STDEV(63.8216487,58.0894315)</f>
        <v>4.0532896533541596</v>
      </c>
      <c r="H229" s="41">
        <v>1.6239545014999999</v>
      </c>
      <c r="I229" s="42">
        <v>0.46953662598234336</v>
      </c>
      <c r="J229" s="41">
        <v>239.1875</v>
      </c>
      <c r="K229" s="42">
        <v>84.935243189822472</v>
      </c>
      <c r="L229" s="41">
        <v>-0.78</v>
      </c>
      <c r="M229" s="42">
        <v>1.2329493106449831</v>
      </c>
      <c r="N229" s="41" t="s">
        <v>24</v>
      </c>
      <c r="O229" s="43" t="s">
        <v>24</v>
      </c>
      <c r="P229" s="42" t="s">
        <v>24</v>
      </c>
      <c r="Q229" s="44" t="s">
        <v>240</v>
      </c>
    </row>
    <row r="230" spans="1:17" x14ac:dyDescent="0.25">
      <c r="A230" s="74">
        <v>195</v>
      </c>
      <c r="B230" s="3" t="s">
        <v>267</v>
      </c>
      <c r="C230" s="1" t="s">
        <v>23</v>
      </c>
      <c r="D230" s="70">
        <v>-73.8</v>
      </c>
      <c r="E230" s="1">
        <v>134.5</v>
      </c>
      <c r="F230" s="1">
        <v>32.380000000000003</v>
      </c>
      <c r="G230" s="1">
        <v>0.27</v>
      </c>
      <c r="H230" s="1">
        <v>0.19</v>
      </c>
      <c r="I230" s="1">
        <v>0.05</v>
      </c>
      <c r="J230" s="1">
        <v>4.22</v>
      </c>
      <c r="K230" s="1">
        <v>2.2400000000000002</v>
      </c>
      <c r="L230" s="4">
        <v>-1.4</v>
      </c>
      <c r="M230" s="4">
        <v>1.49</v>
      </c>
      <c r="N230" s="1" t="s">
        <v>24</v>
      </c>
      <c r="O230" s="1" t="s">
        <v>24</v>
      </c>
      <c r="P230" s="1" t="s">
        <v>24</v>
      </c>
      <c r="Q230" s="24" t="s">
        <v>268</v>
      </c>
    </row>
    <row r="231" spans="1:17" x14ac:dyDescent="0.25">
      <c r="B231" s="1"/>
      <c r="L231" s="1"/>
    </row>
    <row r="232" spans="1:17" x14ac:dyDescent="0.25">
      <c r="B232" s="1"/>
      <c r="L232" s="1"/>
    </row>
    <row r="233" spans="1:17" x14ac:dyDescent="0.25">
      <c r="L233" s="1"/>
      <c r="M233" s="1"/>
    </row>
    <row r="234" spans="1:17" x14ac:dyDescent="0.25">
      <c r="L234" s="1"/>
      <c r="M234" s="1"/>
    </row>
    <row r="238" spans="1:17" x14ac:dyDescent="0.25">
      <c r="L238" s="1"/>
      <c r="M238" s="1"/>
    </row>
    <row r="241" spans="13:14" x14ac:dyDescent="0.25">
      <c r="N241" s="4"/>
    </row>
    <row r="242" spans="13:14" x14ac:dyDescent="0.25">
      <c r="M242" s="1"/>
    </row>
    <row r="246" spans="13:14" x14ac:dyDescent="0.25">
      <c r="M246" s="1"/>
    </row>
  </sheetData>
  <mergeCells count="36">
    <mergeCell ref="Q184:Q185"/>
    <mergeCell ref="A138:A139"/>
    <mergeCell ref="B138:B139"/>
    <mergeCell ref="C138:C139"/>
    <mergeCell ref="D138:D139"/>
    <mergeCell ref="E138:E139"/>
    <mergeCell ref="Q138:Q139"/>
    <mergeCell ref="A184:A185"/>
    <mergeCell ref="B184:B185"/>
    <mergeCell ref="C184:C185"/>
    <mergeCell ref="D184:D185"/>
    <mergeCell ref="E184:E185"/>
    <mergeCell ref="Q103:Q104"/>
    <mergeCell ref="A75:A76"/>
    <mergeCell ref="B75:B76"/>
    <mergeCell ref="C75:C76"/>
    <mergeCell ref="D75:D76"/>
    <mergeCell ref="E75:E76"/>
    <mergeCell ref="Q75:Q76"/>
    <mergeCell ref="A103:A104"/>
    <mergeCell ref="B103:B104"/>
    <mergeCell ref="C103:C104"/>
    <mergeCell ref="D103:D104"/>
    <mergeCell ref="E103:E104"/>
    <mergeCell ref="Q40:Q41"/>
    <mergeCell ref="A2:A3"/>
    <mergeCell ref="B2:B3"/>
    <mergeCell ref="C2:C3"/>
    <mergeCell ref="D2:D3"/>
    <mergeCell ref="E2:E3"/>
    <mergeCell ref="Q2:Q3"/>
    <mergeCell ref="A40:A41"/>
    <mergeCell ref="B40:B41"/>
    <mergeCell ref="C40:C41"/>
    <mergeCell ref="D40:D41"/>
    <mergeCell ref="E40:E41"/>
  </mergeCells>
  <printOptions horizontalCentered="1" verticalCentered="1"/>
  <pageMargins left="1" right="1" top="1.5" bottom="1" header="0.3" footer="0.3"/>
  <pageSetup scale="4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29"/>
  <sheetViews>
    <sheetView zoomScale="85" zoomScaleNormal="85" workbookViewId="0">
      <selection activeCell="B1" sqref="B1:B1048576"/>
    </sheetView>
  </sheetViews>
  <sheetFormatPr defaultRowHeight="15" x14ac:dyDescent="0.25"/>
  <cols>
    <col min="1" max="1" width="9.140625" style="1"/>
  </cols>
  <sheetData>
    <row r="2" spans="1:2" x14ac:dyDescent="0.25">
      <c r="A2" s="7" t="s">
        <v>5</v>
      </c>
      <c r="B2" s="47" t="s">
        <v>5</v>
      </c>
    </row>
    <row r="3" spans="1:2" x14ac:dyDescent="0.25">
      <c r="A3" s="11"/>
      <c r="B3" s="48"/>
    </row>
    <row r="4" spans="1:2" x14ac:dyDescent="0.25">
      <c r="A4" s="17">
        <v>-33.299999999999997</v>
      </c>
      <c r="B4" s="49">
        <f>360+A4</f>
        <v>326.7</v>
      </c>
    </row>
    <row r="5" spans="1:2" x14ac:dyDescent="0.25">
      <c r="A5" s="29">
        <v>-27.4</v>
      </c>
      <c r="B5" s="50">
        <f t="shared" ref="B5:B39" si="0">360+A5</f>
        <v>332.6</v>
      </c>
    </row>
    <row r="6" spans="1:2" x14ac:dyDescent="0.25">
      <c r="A6" s="17">
        <v>-25.2</v>
      </c>
      <c r="B6" s="49">
        <f t="shared" si="0"/>
        <v>334.8</v>
      </c>
    </row>
    <row r="7" spans="1:2" x14ac:dyDescent="0.25">
      <c r="A7" s="29">
        <v>-26.3</v>
      </c>
      <c r="B7" s="50">
        <f t="shared" si="0"/>
        <v>333.7</v>
      </c>
    </row>
    <row r="8" spans="1:2" x14ac:dyDescent="0.25">
      <c r="A8" s="17">
        <v>-35.9</v>
      </c>
      <c r="B8" s="49">
        <f t="shared" si="0"/>
        <v>324.10000000000002</v>
      </c>
    </row>
    <row r="9" spans="1:2" x14ac:dyDescent="0.25">
      <c r="A9" s="29">
        <v>-34.6</v>
      </c>
      <c r="B9" s="50">
        <f t="shared" si="0"/>
        <v>325.39999999999998</v>
      </c>
    </row>
    <row r="10" spans="1:2" x14ac:dyDescent="0.25">
      <c r="A10" s="17">
        <v>-37.4</v>
      </c>
      <c r="B10" s="49">
        <f t="shared" si="0"/>
        <v>322.60000000000002</v>
      </c>
    </row>
    <row r="11" spans="1:2" x14ac:dyDescent="0.25">
      <c r="A11" s="29">
        <v>-35.799999999999997</v>
      </c>
      <c r="B11" s="50">
        <f t="shared" si="0"/>
        <v>324.2</v>
      </c>
    </row>
    <row r="12" spans="1:2" x14ac:dyDescent="0.25">
      <c r="A12" s="17">
        <v>-35.4</v>
      </c>
      <c r="B12" s="49">
        <f t="shared" si="0"/>
        <v>324.60000000000002</v>
      </c>
    </row>
    <row r="13" spans="1:2" x14ac:dyDescent="0.25">
      <c r="A13" s="29">
        <v>-26.5</v>
      </c>
      <c r="B13" s="50">
        <f t="shared" si="0"/>
        <v>333.5</v>
      </c>
    </row>
    <row r="14" spans="1:2" x14ac:dyDescent="0.25">
      <c r="A14" s="17">
        <v>-50.3</v>
      </c>
      <c r="B14" s="49">
        <f t="shared" si="0"/>
        <v>309.7</v>
      </c>
    </row>
    <row r="15" spans="1:2" x14ac:dyDescent="0.25">
      <c r="A15" s="29">
        <v>-25.7</v>
      </c>
      <c r="B15" s="50">
        <f t="shared" si="0"/>
        <v>334.3</v>
      </c>
    </row>
    <row r="16" spans="1:2" x14ac:dyDescent="0.25">
      <c r="A16" s="17">
        <v>-25.3</v>
      </c>
      <c r="B16" s="49">
        <f t="shared" si="0"/>
        <v>334.7</v>
      </c>
    </row>
    <row r="17" spans="1:2" x14ac:dyDescent="0.25">
      <c r="A17" s="29">
        <v>-37</v>
      </c>
      <c r="B17" s="50">
        <f t="shared" si="0"/>
        <v>323</v>
      </c>
    </row>
    <row r="18" spans="1:2" x14ac:dyDescent="0.25">
      <c r="A18" s="17">
        <v>-46.5</v>
      </c>
      <c r="B18" s="49">
        <f t="shared" si="0"/>
        <v>313.5</v>
      </c>
    </row>
    <row r="19" spans="1:2" x14ac:dyDescent="0.25">
      <c r="A19" s="29">
        <v>-46.7</v>
      </c>
      <c r="B19" s="50">
        <f t="shared" si="0"/>
        <v>313.3</v>
      </c>
    </row>
    <row r="20" spans="1:2" x14ac:dyDescent="0.25">
      <c r="A20" s="17">
        <v>-46.6</v>
      </c>
      <c r="B20" s="49">
        <f t="shared" si="0"/>
        <v>313.39999999999998</v>
      </c>
    </row>
    <row r="21" spans="1:2" x14ac:dyDescent="0.25">
      <c r="A21" s="29">
        <v>-46.3</v>
      </c>
      <c r="B21" s="50">
        <f t="shared" si="0"/>
        <v>313.7</v>
      </c>
    </row>
    <row r="22" spans="1:2" x14ac:dyDescent="0.25">
      <c r="A22" s="17">
        <v>-43.3</v>
      </c>
      <c r="B22" s="49">
        <f t="shared" si="0"/>
        <v>316.7</v>
      </c>
    </row>
    <row r="23" spans="1:2" x14ac:dyDescent="0.25">
      <c r="A23" s="29">
        <v>-66.900000000000006</v>
      </c>
      <c r="B23" s="50">
        <f t="shared" si="0"/>
        <v>293.10000000000002</v>
      </c>
    </row>
    <row r="24" spans="1:2" x14ac:dyDescent="0.25">
      <c r="A24" s="17">
        <v>-52</v>
      </c>
      <c r="B24" s="49">
        <f t="shared" si="0"/>
        <v>308</v>
      </c>
    </row>
    <row r="25" spans="1:2" x14ac:dyDescent="0.25">
      <c r="A25" s="29">
        <v>-50.7</v>
      </c>
      <c r="B25" s="50">
        <f t="shared" si="0"/>
        <v>309.3</v>
      </c>
    </row>
    <row r="26" spans="1:2" x14ac:dyDescent="0.25">
      <c r="A26" s="17">
        <v>-54.2</v>
      </c>
      <c r="B26" s="49">
        <f t="shared" si="0"/>
        <v>305.8</v>
      </c>
    </row>
    <row r="27" spans="1:2" x14ac:dyDescent="0.25">
      <c r="A27" s="29">
        <v>-48.2</v>
      </c>
      <c r="B27" s="50">
        <f t="shared" si="0"/>
        <v>311.8</v>
      </c>
    </row>
    <row r="28" spans="1:2" x14ac:dyDescent="0.25">
      <c r="A28" s="17">
        <v>-48.7</v>
      </c>
      <c r="B28" s="49">
        <f t="shared" si="0"/>
        <v>311.3</v>
      </c>
    </row>
    <row r="29" spans="1:2" x14ac:dyDescent="0.25">
      <c r="A29" s="29">
        <v>-48.7</v>
      </c>
      <c r="B29" s="50">
        <f t="shared" si="0"/>
        <v>311.3</v>
      </c>
    </row>
    <row r="30" spans="1:2" x14ac:dyDescent="0.25">
      <c r="A30" s="17">
        <v>-59.3</v>
      </c>
      <c r="B30" s="49">
        <f t="shared" si="0"/>
        <v>300.7</v>
      </c>
    </row>
    <row r="31" spans="1:2" x14ac:dyDescent="0.25">
      <c r="A31" s="29">
        <v>-33.200000000000003</v>
      </c>
      <c r="B31" s="50">
        <f t="shared" si="0"/>
        <v>326.8</v>
      </c>
    </row>
    <row r="32" spans="1:2" x14ac:dyDescent="0.25">
      <c r="A32" s="17">
        <v>-57.8</v>
      </c>
      <c r="B32" s="49">
        <f t="shared" si="0"/>
        <v>302.2</v>
      </c>
    </row>
    <row r="33" spans="1:2" x14ac:dyDescent="0.25">
      <c r="A33" s="29">
        <v>-57.1</v>
      </c>
      <c r="B33" s="50">
        <f t="shared" si="0"/>
        <v>302.89999999999998</v>
      </c>
    </row>
    <row r="34" spans="1:2" x14ac:dyDescent="0.25">
      <c r="A34" s="17">
        <v>-57.2</v>
      </c>
      <c r="B34" s="49">
        <f t="shared" si="0"/>
        <v>302.8</v>
      </c>
    </row>
    <row r="35" spans="1:2" x14ac:dyDescent="0.25">
      <c r="A35" s="29">
        <v>-57.2</v>
      </c>
      <c r="B35" s="50">
        <f t="shared" si="0"/>
        <v>302.8</v>
      </c>
    </row>
    <row r="36" spans="1:2" x14ac:dyDescent="0.25">
      <c r="A36" s="17">
        <v>-50.4</v>
      </c>
      <c r="B36" s="49">
        <f t="shared" si="0"/>
        <v>309.60000000000002</v>
      </c>
    </row>
    <row r="37" spans="1:2" x14ac:dyDescent="0.25">
      <c r="A37" s="29">
        <v>-54</v>
      </c>
      <c r="B37" s="50">
        <f t="shared" si="0"/>
        <v>306</v>
      </c>
    </row>
    <row r="38" spans="1:2" x14ac:dyDescent="0.25">
      <c r="A38" s="17">
        <v>-49.9</v>
      </c>
      <c r="B38" s="49">
        <f t="shared" si="0"/>
        <v>310.10000000000002</v>
      </c>
    </row>
    <row r="39" spans="1:2" x14ac:dyDescent="0.25">
      <c r="A39" s="29">
        <v>-48.5</v>
      </c>
      <c r="B39" s="50">
        <f t="shared" si="0"/>
        <v>311.5</v>
      </c>
    </row>
    <row r="40" spans="1:2" x14ac:dyDescent="0.25">
      <c r="A40" s="7" t="s">
        <v>5</v>
      </c>
      <c r="B40" s="47" t="s">
        <v>5</v>
      </c>
    </row>
    <row r="41" spans="1:2" x14ac:dyDescent="0.25">
      <c r="A41" s="11"/>
      <c r="B41" s="48"/>
    </row>
    <row r="42" spans="1:2" x14ac:dyDescent="0.25">
      <c r="A42" s="17">
        <v>-50.2</v>
      </c>
      <c r="B42" s="49">
        <f t="shared" ref="B42:B74" si="1">360+A42</f>
        <v>309.8</v>
      </c>
    </row>
    <row r="43" spans="1:2" x14ac:dyDescent="0.25">
      <c r="A43" s="29">
        <v>-53.3</v>
      </c>
      <c r="B43" s="50">
        <f t="shared" si="1"/>
        <v>306.7</v>
      </c>
    </row>
    <row r="44" spans="1:2" x14ac:dyDescent="0.25">
      <c r="A44" s="17">
        <v>-57.6</v>
      </c>
      <c r="B44" s="49">
        <f t="shared" si="1"/>
        <v>302.39999999999998</v>
      </c>
    </row>
    <row r="45" spans="1:2" x14ac:dyDescent="0.25">
      <c r="A45" s="29">
        <v>-56.8</v>
      </c>
      <c r="B45" s="50">
        <f t="shared" si="1"/>
        <v>303.2</v>
      </c>
    </row>
    <row r="46" spans="1:2" x14ac:dyDescent="0.25">
      <c r="A46" s="17">
        <v>-58.9</v>
      </c>
      <c r="B46" s="49">
        <f t="shared" si="1"/>
        <v>301.10000000000002</v>
      </c>
    </row>
    <row r="47" spans="1:2" x14ac:dyDescent="0.25">
      <c r="A47" s="29">
        <v>-58</v>
      </c>
      <c r="B47" s="50">
        <f t="shared" si="1"/>
        <v>302</v>
      </c>
    </row>
    <row r="48" spans="1:2" x14ac:dyDescent="0.25">
      <c r="A48" s="17">
        <v>-55.9</v>
      </c>
      <c r="B48" s="49">
        <f t="shared" si="1"/>
        <v>304.10000000000002</v>
      </c>
    </row>
    <row r="49" spans="1:2" x14ac:dyDescent="0.25">
      <c r="A49" s="29">
        <v>-49.3</v>
      </c>
      <c r="B49" s="50">
        <f t="shared" si="1"/>
        <v>310.7</v>
      </c>
    </row>
    <row r="50" spans="1:2" x14ac:dyDescent="0.25">
      <c r="A50" s="17">
        <v>-50.7</v>
      </c>
      <c r="B50" s="49">
        <f t="shared" si="1"/>
        <v>309.3</v>
      </c>
    </row>
    <row r="51" spans="1:2" x14ac:dyDescent="0.25">
      <c r="A51" s="29">
        <v>-56</v>
      </c>
      <c r="B51" s="50">
        <f t="shared" si="1"/>
        <v>304</v>
      </c>
    </row>
    <row r="52" spans="1:2" x14ac:dyDescent="0.25">
      <c r="A52" s="17">
        <v>-50.1</v>
      </c>
      <c r="B52" s="49">
        <f t="shared" si="1"/>
        <v>309.89999999999998</v>
      </c>
    </row>
    <row r="53" spans="1:2" x14ac:dyDescent="0.25">
      <c r="A53" s="29">
        <v>-48.6</v>
      </c>
      <c r="B53" s="50">
        <f t="shared" si="1"/>
        <v>311.39999999999998</v>
      </c>
    </row>
    <row r="54" spans="1:2" x14ac:dyDescent="0.25">
      <c r="A54" s="17">
        <v>-47.2</v>
      </c>
      <c r="B54" s="49">
        <f t="shared" si="1"/>
        <v>312.8</v>
      </c>
    </row>
    <row r="55" spans="1:2" x14ac:dyDescent="0.25">
      <c r="A55" s="29">
        <v>-49.3</v>
      </c>
      <c r="B55" s="50">
        <f t="shared" si="1"/>
        <v>310.7</v>
      </c>
    </row>
    <row r="56" spans="1:2" x14ac:dyDescent="0.25">
      <c r="A56" s="17">
        <v>-74.5</v>
      </c>
      <c r="B56" s="49">
        <f t="shared" si="1"/>
        <v>285.5</v>
      </c>
    </row>
    <row r="57" spans="1:2" x14ac:dyDescent="0.25">
      <c r="A57" s="29">
        <v>-45.1</v>
      </c>
      <c r="B57" s="50">
        <f t="shared" si="1"/>
        <v>314.89999999999998</v>
      </c>
    </row>
    <row r="58" spans="1:2" x14ac:dyDescent="0.25">
      <c r="A58" s="17">
        <v>-52.6</v>
      </c>
      <c r="B58" s="49">
        <f t="shared" si="1"/>
        <v>307.39999999999998</v>
      </c>
    </row>
    <row r="59" spans="1:2" x14ac:dyDescent="0.25">
      <c r="A59" s="29">
        <v>-52.9</v>
      </c>
      <c r="B59" s="50">
        <f t="shared" si="1"/>
        <v>307.10000000000002</v>
      </c>
    </row>
    <row r="60" spans="1:2" x14ac:dyDescent="0.25">
      <c r="A60" s="17">
        <v>-50.8</v>
      </c>
      <c r="B60" s="49">
        <f t="shared" si="1"/>
        <v>309.2</v>
      </c>
    </row>
    <row r="61" spans="1:2" x14ac:dyDescent="0.25">
      <c r="A61" s="29">
        <v>-54.2</v>
      </c>
      <c r="B61" s="50">
        <f t="shared" si="1"/>
        <v>305.8</v>
      </c>
    </row>
    <row r="62" spans="1:2" x14ac:dyDescent="0.25">
      <c r="A62" s="17">
        <v>-54.2</v>
      </c>
      <c r="B62" s="49">
        <f t="shared" si="1"/>
        <v>305.8</v>
      </c>
    </row>
    <row r="63" spans="1:2" x14ac:dyDescent="0.25">
      <c r="A63" s="29">
        <v>-54</v>
      </c>
      <c r="B63" s="50">
        <f t="shared" si="1"/>
        <v>306</v>
      </c>
    </row>
    <row r="64" spans="1:2" x14ac:dyDescent="0.25">
      <c r="A64" s="17">
        <v>-49.3</v>
      </c>
      <c r="B64" s="49">
        <f t="shared" si="1"/>
        <v>310.7</v>
      </c>
    </row>
    <row r="65" spans="1:2" x14ac:dyDescent="0.25">
      <c r="A65" s="29">
        <v>-49.3</v>
      </c>
      <c r="B65" s="50">
        <f t="shared" si="1"/>
        <v>310.7</v>
      </c>
    </row>
    <row r="66" spans="1:2" x14ac:dyDescent="0.25">
      <c r="A66" s="17">
        <v>-54.4</v>
      </c>
      <c r="B66" s="49">
        <f t="shared" si="1"/>
        <v>305.60000000000002</v>
      </c>
    </row>
    <row r="67" spans="1:2" x14ac:dyDescent="0.25">
      <c r="A67" s="29">
        <v>-47.2</v>
      </c>
      <c r="B67" s="50">
        <f t="shared" si="1"/>
        <v>312.8</v>
      </c>
    </row>
    <row r="68" spans="1:2" x14ac:dyDescent="0.25">
      <c r="A68" s="17">
        <v>-39.1</v>
      </c>
      <c r="B68" s="49">
        <f t="shared" si="1"/>
        <v>320.89999999999998</v>
      </c>
    </row>
    <row r="69" spans="1:2" x14ac:dyDescent="0.25">
      <c r="A69" s="29">
        <v>-42.6</v>
      </c>
      <c r="B69" s="50">
        <f t="shared" si="1"/>
        <v>317.39999999999998</v>
      </c>
    </row>
    <row r="70" spans="1:2" x14ac:dyDescent="0.25">
      <c r="A70" s="17">
        <v>-47.5</v>
      </c>
      <c r="B70" s="49">
        <f t="shared" si="1"/>
        <v>312.5</v>
      </c>
    </row>
    <row r="71" spans="1:2" x14ac:dyDescent="0.25">
      <c r="A71" s="29">
        <v>-42.2</v>
      </c>
      <c r="B71" s="50">
        <f t="shared" si="1"/>
        <v>317.8</v>
      </c>
    </row>
    <row r="72" spans="1:2" x14ac:dyDescent="0.25">
      <c r="A72" s="17">
        <v>-46.9</v>
      </c>
      <c r="B72" s="49">
        <f t="shared" si="1"/>
        <v>313.10000000000002</v>
      </c>
    </row>
    <row r="73" spans="1:2" x14ac:dyDescent="0.25">
      <c r="A73" s="29">
        <v>-43.7</v>
      </c>
      <c r="B73" s="50">
        <f t="shared" si="1"/>
        <v>316.3</v>
      </c>
    </row>
    <row r="74" spans="1:2" x14ac:dyDescent="0.25">
      <c r="A74" s="17">
        <v>-46.9</v>
      </c>
      <c r="B74" s="49">
        <f t="shared" si="1"/>
        <v>313.10000000000002</v>
      </c>
    </row>
    <row r="75" spans="1:2" x14ac:dyDescent="0.25">
      <c r="A75" s="7" t="s">
        <v>5</v>
      </c>
      <c r="B75" s="47" t="s">
        <v>5</v>
      </c>
    </row>
    <row r="76" spans="1:2" x14ac:dyDescent="0.25">
      <c r="A76" s="11"/>
      <c r="B76" s="48"/>
    </row>
    <row r="77" spans="1:2" x14ac:dyDescent="0.25">
      <c r="A77" s="17">
        <v>-43.2</v>
      </c>
      <c r="B77" s="49">
        <f t="shared" ref="B77:B101" si="2">360+A77</f>
        <v>316.8</v>
      </c>
    </row>
    <row r="78" spans="1:2" x14ac:dyDescent="0.25">
      <c r="A78" s="29">
        <v>-42.9</v>
      </c>
      <c r="B78" s="50">
        <f t="shared" si="2"/>
        <v>317.10000000000002</v>
      </c>
    </row>
    <row r="79" spans="1:2" x14ac:dyDescent="0.25">
      <c r="A79" s="17">
        <v>-43.3</v>
      </c>
      <c r="B79" s="49">
        <f t="shared" si="2"/>
        <v>316.7</v>
      </c>
    </row>
    <row r="80" spans="1:2" x14ac:dyDescent="0.25">
      <c r="A80" s="29">
        <v>-42.5</v>
      </c>
      <c r="B80" s="50">
        <f t="shared" si="2"/>
        <v>317.5</v>
      </c>
    </row>
    <row r="81" spans="1:2" x14ac:dyDescent="0.25">
      <c r="A81" s="17">
        <v>-46.6</v>
      </c>
      <c r="B81" s="49">
        <f t="shared" si="2"/>
        <v>313.39999999999998</v>
      </c>
    </row>
    <row r="82" spans="1:2" x14ac:dyDescent="0.25">
      <c r="A82" s="29">
        <v>-42.6</v>
      </c>
      <c r="B82" s="50">
        <f t="shared" si="2"/>
        <v>317.39999999999998</v>
      </c>
    </row>
    <row r="83" spans="1:2" x14ac:dyDescent="0.25">
      <c r="A83" s="17">
        <v>-41.9</v>
      </c>
      <c r="B83" s="49">
        <f t="shared" si="2"/>
        <v>318.10000000000002</v>
      </c>
    </row>
    <row r="84" spans="1:2" x14ac:dyDescent="0.25">
      <c r="A84" s="29">
        <v>-46.6</v>
      </c>
      <c r="B84" s="50">
        <f t="shared" si="2"/>
        <v>313.39999999999998</v>
      </c>
    </row>
    <row r="85" spans="1:2" x14ac:dyDescent="0.25">
      <c r="A85" s="17">
        <v>-46.4</v>
      </c>
      <c r="B85" s="49">
        <f t="shared" si="2"/>
        <v>313.60000000000002</v>
      </c>
    </row>
    <row r="86" spans="1:2" x14ac:dyDescent="0.25">
      <c r="A86" s="29">
        <v>-49.7</v>
      </c>
      <c r="B86" s="50">
        <f t="shared" si="2"/>
        <v>310.3</v>
      </c>
    </row>
    <row r="87" spans="1:2" x14ac:dyDescent="0.25">
      <c r="A87" s="17">
        <v>-49</v>
      </c>
      <c r="B87" s="49">
        <f t="shared" si="2"/>
        <v>311</v>
      </c>
    </row>
    <row r="88" spans="1:2" x14ac:dyDescent="0.25">
      <c r="A88" s="29">
        <v>-47.6</v>
      </c>
      <c r="B88" s="50">
        <f t="shared" si="2"/>
        <v>312.39999999999998</v>
      </c>
    </row>
    <row r="89" spans="1:2" x14ac:dyDescent="0.25">
      <c r="A89" s="17">
        <v>-51</v>
      </c>
      <c r="B89" s="49">
        <f t="shared" si="2"/>
        <v>309</v>
      </c>
    </row>
    <row r="90" spans="1:2" x14ac:dyDescent="0.25">
      <c r="A90" s="29">
        <v>-48.2</v>
      </c>
      <c r="B90" s="50">
        <f t="shared" si="2"/>
        <v>311.8</v>
      </c>
    </row>
    <row r="91" spans="1:2" x14ac:dyDescent="0.25">
      <c r="A91" s="17">
        <v>-45.9</v>
      </c>
      <c r="B91" s="49">
        <f t="shared" si="2"/>
        <v>314.10000000000002</v>
      </c>
    </row>
    <row r="92" spans="1:2" x14ac:dyDescent="0.25">
      <c r="A92" s="29">
        <v>-48.1</v>
      </c>
      <c r="B92" s="50">
        <f t="shared" si="2"/>
        <v>311.89999999999998</v>
      </c>
    </row>
    <row r="93" spans="1:2" x14ac:dyDescent="0.25">
      <c r="A93" s="17">
        <v>-49.9</v>
      </c>
      <c r="B93" s="49">
        <f t="shared" si="2"/>
        <v>310.10000000000002</v>
      </c>
    </row>
    <row r="94" spans="1:2" x14ac:dyDescent="0.25">
      <c r="A94" s="29">
        <v>-51.8</v>
      </c>
      <c r="B94" s="50">
        <f t="shared" si="2"/>
        <v>308.2</v>
      </c>
    </row>
    <row r="95" spans="1:2" x14ac:dyDescent="0.25">
      <c r="A95" s="17">
        <v>-54.1</v>
      </c>
      <c r="B95" s="49">
        <f t="shared" si="2"/>
        <v>305.89999999999998</v>
      </c>
    </row>
    <row r="96" spans="1:2" x14ac:dyDescent="0.25">
      <c r="A96" s="29">
        <v>-44.2</v>
      </c>
      <c r="B96" s="50">
        <f t="shared" si="2"/>
        <v>315.8</v>
      </c>
    </row>
    <row r="97" spans="1:2" x14ac:dyDescent="0.25">
      <c r="A97" s="17">
        <v>-40.299999999999997</v>
      </c>
      <c r="B97" s="49">
        <f t="shared" si="2"/>
        <v>319.7</v>
      </c>
    </row>
    <row r="98" spans="1:2" x14ac:dyDescent="0.25">
      <c r="A98" s="29">
        <v>-46.4</v>
      </c>
      <c r="B98" s="50">
        <f t="shared" si="2"/>
        <v>313.60000000000002</v>
      </c>
    </row>
    <row r="99" spans="1:2" x14ac:dyDescent="0.25">
      <c r="A99" s="17">
        <v>-49.7</v>
      </c>
      <c r="B99" s="49">
        <f t="shared" si="2"/>
        <v>310.3</v>
      </c>
    </row>
    <row r="100" spans="1:2" x14ac:dyDescent="0.25">
      <c r="A100" s="17">
        <v>-49.7</v>
      </c>
      <c r="B100" s="50">
        <f t="shared" si="2"/>
        <v>310.3</v>
      </c>
    </row>
    <row r="101" spans="1:2" x14ac:dyDescent="0.25">
      <c r="A101" s="29">
        <v>-40.4</v>
      </c>
      <c r="B101" s="49">
        <f t="shared" si="2"/>
        <v>319.60000000000002</v>
      </c>
    </row>
    <row r="102" spans="1:2" x14ac:dyDescent="0.25">
      <c r="A102" s="40"/>
      <c r="B102" s="49"/>
    </row>
    <row r="103" spans="1:2" x14ac:dyDescent="0.25">
      <c r="A103" s="7" t="s">
        <v>5</v>
      </c>
      <c r="B103" s="47" t="s">
        <v>5</v>
      </c>
    </row>
    <row r="104" spans="1:2" x14ac:dyDescent="0.25">
      <c r="A104" s="11"/>
      <c r="B104" s="48"/>
    </row>
    <row r="105" spans="1:2" x14ac:dyDescent="0.25">
      <c r="A105" s="17">
        <v>-41.3</v>
      </c>
      <c r="B105" s="49">
        <f t="shared" ref="B105:B136" si="3">360+A105</f>
        <v>318.7</v>
      </c>
    </row>
    <row r="106" spans="1:2" x14ac:dyDescent="0.25">
      <c r="A106" s="29">
        <v>-59.8</v>
      </c>
      <c r="B106" s="50">
        <f t="shared" si="3"/>
        <v>300.2</v>
      </c>
    </row>
    <row r="107" spans="1:2" x14ac:dyDescent="0.25">
      <c r="A107" s="17">
        <v>-52.3</v>
      </c>
      <c r="B107" s="49">
        <f t="shared" si="3"/>
        <v>307.7</v>
      </c>
    </row>
    <row r="108" spans="1:2" x14ac:dyDescent="0.25">
      <c r="A108" s="29">
        <v>-52.8</v>
      </c>
      <c r="B108" s="50">
        <f t="shared" si="3"/>
        <v>307.2</v>
      </c>
    </row>
    <row r="109" spans="1:2" x14ac:dyDescent="0.25">
      <c r="A109" s="17">
        <v>-37.4</v>
      </c>
      <c r="B109" s="49">
        <f t="shared" si="3"/>
        <v>322.60000000000002</v>
      </c>
    </row>
    <row r="110" spans="1:2" x14ac:dyDescent="0.25">
      <c r="A110" s="29">
        <v>-30.8</v>
      </c>
      <c r="B110" s="50">
        <f t="shared" si="3"/>
        <v>329.2</v>
      </c>
    </row>
    <row r="111" spans="1:2" x14ac:dyDescent="0.25">
      <c r="A111" s="17">
        <v>-24.1</v>
      </c>
      <c r="B111" s="49">
        <f t="shared" si="3"/>
        <v>335.9</v>
      </c>
    </row>
    <row r="112" spans="1:2" x14ac:dyDescent="0.25">
      <c r="A112" s="29">
        <v>-10.9</v>
      </c>
      <c r="B112" s="50">
        <f t="shared" si="3"/>
        <v>349.1</v>
      </c>
    </row>
    <row r="113" spans="1:2" x14ac:dyDescent="0.25">
      <c r="A113" s="17">
        <v>-23.9</v>
      </c>
      <c r="B113" s="49">
        <f t="shared" si="3"/>
        <v>336.1</v>
      </c>
    </row>
    <row r="114" spans="1:2" x14ac:dyDescent="0.25">
      <c r="A114" s="29">
        <v>-8.6</v>
      </c>
      <c r="B114" s="50">
        <f t="shared" si="3"/>
        <v>351.4</v>
      </c>
    </row>
    <row r="115" spans="1:2" x14ac:dyDescent="0.25">
      <c r="A115" s="17">
        <v>-7.6</v>
      </c>
      <c r="B115" s="49">
        <f t="shared" si="3"/>
        <v>352.4</v>
      </c>
    </row>
    <row r="116" spans="1:2" x14ac:dyDescent="0.25">
      <c r="A116" s="29">
        <v>1.4</v>
      </c>
      <c r="B116" s="51">
        <v>1.4</v>
      </c>
    </row>
    <row r="117" spans="1:2" x14ac:dyDescent="0.25">
      <c r="A117" s="17">
        <v>-7.5</v>
      </c>
      <c r="B117" s="49">
        <f t="shared" si="3"/>
        <v>352.5</v>
      </c>
    </row>
    <row r="118" spans="1:2" x14ac:dyDescent="0.25">
      <c r="A118" s="29">
        <v>-31.4</v>
      </c>
      <c r="B118" s="50">
        <f t="shared" si="3"/>
        <v>328.6</v>
      </c>
    </row>
    <row r="119" spans="1:2" x14ac:dyDescent="0.25">
      <c r="A119" s="17">
        <v>-30.6</v>
      </c>
      <c r="B119" s="49">
        <f t="shared" si="3"/>
        <v>329.4</v>
      </c>
    </row>
    <row r="120" spans="1:2" x14ac:dyDescent="0.25">
      <c r="A120" s="29">
        <v>-35.799999999999997</v>
      </c>
      <c r="B120" s="50">
        <f t="shared" si="3"/>
        <v>324.2</v>
      </c>
    </row>
    <row r="121" spans="1:2" x14ac:dyDescent="0.25">
      <c r="A121" s="17">
        <v>-3.5</v>
      </c>
      <c r="B121" s="49">
        <f t="shared" si="3"/>
        <v>356.5</v>
      </c>
    </row>
    <row r="122" spans="1:2" x14ac:dyDescent="0.25">
      <c r="A122" s="29">
        <v>-3.5</v>
      </c>
      <c r="B122" s="50">
        <f t="shared" si="3"/>
        <v>356.5</v>
      </c>
    </row>
    <row r="123" spans="1:2" x14ac:dyDescent="0.25">
      <c r="A123" s="17">
        <v>-31.7</v>
      </c>
      <c r="B123" s="49">
        <f t="shared" si="3"/>
        <v>328.3</v>
      </c>
    </row>
    <row r="124" spans="1:2" x14ac:dyDescent="0.25">
      <c r="A124" s="29">
        <v>-40.200000000000003</v>
      </c>
      <c r="B124" s="50">
        <f t="shared" si="3"/>
        <v>319.8</v>
      </c>
    </row>
    <row r="125" spans="1:2" x14ac:dyDescent="0.25">
      <c r="A125" s="17">
        <v>-40.200000000000003</v>
      </c>
      <c r="B125" s="49">
        <f t="shared" si="3"/>
        <v>319.8</v>
      </c>
    </row>
    <row r="126" spans="1:2" x14ac:dyDescent="0.25">
      <c r="A126" s="29">
        <v>-3.9</v>
      </c>
      <c r="B126" s="50">
        <f t="shared" si="3"/>
        <v>356.1</v>
      </c>
    </row>
    <row r="127" spans="1:2" x14ac:dyDescent="0.25">
      <c r="A127" s="17">
        <v>-8.8000000000000007</v>
      </c>
      <c r="B127" s="49">
        <f t="shared" si="3"/>
        <v>351.2</v>
      </c>
    </row>
    <row r="128" spans="1:2" x14ac:dyDescent="0.25">
      <c r="A128" s="29">
        <v>-34.799999999999997</v>
      </c>
      <c r="B128" s="50">
        <f t="shared" si="3"/>
        <v>325.2</v>
      </c>
    </row>
    <row r="129" spans="1:2" x14ac:dyDescent="0.25">
      <c r="A129" s="17">
        <v>-31.3</v>
      </c>
      <c r="B129" s="49">
        <f t="shared" si="3"/>
        <v>328.7</v>
      </c>
    </row>
    <row r="130" spans="1:2" x14ac:dyDescent="0.25">
      <c r="A130" s="29">
        <v>-31.4</v>
      </c>
      <c r="B130" s="50">
        <f t="shared" si="3"/>
        <v>328.6</v>
      </c>
    </row>
    <row r="131" spans="1:2" x14ac:dyDescent="0.25">
      <c r="A131" s="17">
        <v>-30.8</v>
      </c>
      <c r="B131" s="49">
        <f t="shared" si="3"/>
        <v>329.2</v>
      </c>
    </row>
    <row r="132" spans="1:2" x14ac:dyDescent="0.25">
      <c r="A132" s="29">
        <v>-30.8</v>
      </c>
      <c r="B132" s="50">
        <f t="shared" si="3"/>
        <v>329.2</v>
      </c>
    </row>
    <row r="133" spans="1:2" x14ac:dyDescent="0.25">
      <c r="A133" s="17">
        <v>-31.1</v>
      </c>
      <c r="B133" s="49">
        <f t="shared" si="3"/>
        <v>328.9</v>
      </c>
    </row>
    <row r="134" spans="1:2" x14ac:dyDescent="0.25">
      <c r="A134" s="29">
        <v>2.2999999999999998</v>
      </c>
      <c r="B134" s="51">
        <v>2.2999999999999998</v>
      </c>
    </row>
    <row r="135" spans="1:2" x14ac:dyDescent="0.25">
      <c r="A135" s="17">
        <v>-0.8</v>
      </c>
      <c r="B135" s="49">
        <f t="shared" si="3"/>
        <v>359.2</v>
      </c>
    </row>
    <row r="136" spans="1:2" x14ac:dyDescent="0.25">
      <c r="A136" s="29">
        <v>-35.700000000000003</v>
      </c>
      <c r="B136" s="50">
        <f t="shared" si="3"/>
        <v>324.3</v>
      </c>
    </row>
    <row r="137" spans="1:2" x14ac:dyDescent="0.25">
      <c r="A137" s="40"/>
      <c r="B137" s="49"/>
    </row>
    <row r="138" spans="1:2" x14ac:dyDescent="0.25">
      <c r="A138" s="7" t="s">
        <v>5</v>
      </c>
      <c r="B138" s="47" t="s">
        <v>5</v>
      </c>
    </row>
    <row r="139" spans="1:2" x14ac:dyDescent="0.25">
      <c r="A139" s="11"/>
      <c r="B139" s="48"/>
    </row>
    <row r="140" spans="1:2" x14ac:dyDescent="0.25">
      <c r="A140" s="17">
        <v>-35.700000000000003</v>
      </c>
      <c r="B140" s="49">
        <f t="shared" ref="B140:B183" si="4">360+A140</f>
        <v>324.3</v>
      </c>
    </row>
    <row r="141" spans="1:2" x14ac:dyDescent="0.25">
      <c r="A141" s="29">
        <v>-32.9</v>
      </c>
      <c r="B141" s="50">
        <f t="shared" si="4"/>
        <v>327.10000000000002</v>
      </c>
    </row>
    <row r="142" spans="1:2" x14ac:dyDescent="0.25">
      <c r="A142" s="17">
        <v>-37.700000000000003</v>
      </c>
      <c r="B142" s="49">
        <f t="shared" si="4"/>
        <v>322.3</v>
      </c>
    </row>
    <row r="143" spans="1:2" x14ac:dyDescent="0.25">
      <c r="A143" s="29">
        <v>-39.1</v>
      </c>
      <c r="B143" s="50">
        <f t="shared" si="4"/>
        <v>320.89999999999998</v>
      </c>
    </row>
    <row r="144" spans="1:2" x14ac:dyDescent="0.25">
      <c r="A144" s="17">
        <v>-38.799999999999997</v>
      </c>
      <c r="B144" s="49">
        <f t="shared" si="4"/>
        <v>321.2</v>
      </c>
    </row>
    <row r="145" spans="1:2" x14ac:dyDescent="0.25">
      <c r="A145" s="29">
        <v>-38</v>
      </c>
      <c r="B145" s="50">
        <f t="shared" si="4"/>
        <v>322</v>
      </c>
    </row>
    <row r="146" spans="1:2" x14ac:dyDescent="0.25">
      <c r="A146" s="17">
        <v>-37.700000000000003</v>
      </c>
      <c r="B146" s="49">
        <f t="shared" si="4"/>
        <v>322.3</v>
      </c>
    </row>
    <row r="147" spans="1:2" x14ac:dyDescent="0.25">
      <c r="A147" s="29">
        <v>-37.299999999999997</v>
      </c>
      <c r="B147" s="50">
        <f t="shared" si="4"/>
        <v>322.7</v>
      </c>
    </row>
    <row r="148" spans="1:2" x14ac:dyDescent="0.25">
      <c r="A148" s="17">
        <v>-35.200000000000003</v>
      </c>
      <c r="B148" s="49">
        <f t="shared" si="4"/>
        <v>324.8</v>
      </c>
    </row>
    <row r="149" spans="1:2" x14ac:dyDescent="0.25">
      <c r="A149" s="29">
        <v>-37.1</v>
      </c>
      <c r="B149" s="50">
        <f t="shared" si="4"/>
        <v>322.89999999999998</v>
      </c>
    </row>
    <row r="150" spans="1:2" x14ac:dyDescent="0.25">
      <c r="A150" s="17">
        <v>-39.700000000000003</v>
      </c>
      <c r="B150" s="49">
        <f t="shared" si="4"/>
        <v>320.3</v>
      </c>
    </row>
    <row r="151" spans="1:2" x14ac:dyDescent="0.25">
      <c r="A151" s="29">
        <v>-24.2</v>
      </c>
      <c r="B151" s="50">
        <f t="shared" si="4"/>
        <v>335.8</v>
      </c>
    </row>
    <row r="152" spans="1:2" x14ac:dyDescent="0.25">
      <c r="A152" s="17">
        <v>-4.3</v>
      </c>
      <c r="B152" s="49">
        <f t="shared" si="4"/>
        <v>355.7</v>
      </c>
    </row>
    <row r="153" spans="1:2" x14ac:dyDescent="0.25">
      <c r="A153" s="29">
        <v>-28</v>
      </c>
      <c r="B153" s="50">
        <f t="shared" si="4"/>
        <v>332</v>
      </c>
    </row>
    <row r="154" spans="1:2" x14ac:dyDescent="0.25">
      <c r="A154" s="17">
        <v>-22.7</v>
      </c>
      <c r="B154" s="49">
        <f t="shared" si="4"/>
        <v>337.3</v>
      </c>
    </row>
    <row r="155" spans="1:2" x14ac:dyDescent="0.25">
      <c r="A155" s="29">
        <v>0.5</v>
      </c>
      <c r="B155" s="51">
        <v>0.5</v>
      </c>
    </row>
    <row r="156" spans="1:2" x14ac:dyDescent="0.25">
      <c r="A156" s="17">
        <v>-0.5</v>
      </c>
      <c r="B156" s="49">
        <f t="shared" si="4"/>
        <v>359.5</v>
      </c>
    </row>
    <row r="157" spans="1:2" x14ac:dyDescent="0.25">
      <c r="A157" s="29">
        <v>-0.4</v>
      </c>
      <c r="B157" s="50">
        <f t="shared" si="4"/>
        <v>359.6</v>
      </c>
    </row>
    <row r="158" spans="1:2" x14ac:dyDescent="0.25">
      <c r="A158" s="17">
        <v>-1.2</v>
      </c>
      <c r="B158" s="49">
        <f t="shared" si="4"/>
        <v>358.8</v>
      </c>
    </row>
    <row r="159" spans="1:2" x14ac:dyDescent="0.25">
      <c r="A159" s="29">
        <v>-22.1</v>
      </c>
      <c r="B159" s="50">
        <f t="shared" si="4"/>
        <v>337.9</v>
      </c>
    </row>
    <row r="160" spans="1:2" x14ac:dyDescent="0.25">
      <c r="A160" s="17">
        <v>-12.8</v>
      </c>
      <c r="B160" s="49">
        <f t="shared" si="4"/>
        <v>347.2</v>
      </c>
    </row>
    <row r="161" spans="1:2" x14ac:dyDescent="0.25">
      <c r="A161" s="29">
        <v>-12.8</v>
      </c>
      <c r="B161" s="50">
        <f t="shared" si="4"/>
        <v>347.2</v>
      </c>
    </row>
    <row r="162" spans="1:2" x14ac:dyDescent="0.25">
      <c r="A162" s="17">
        <v>-23.1</v>
      </c>
      <c r="B162" s="49">
        <f t="shared" si="4"/>
        <v>336.9</v>
      </c>
    </row>
    <row r="163" spans="1:2" x14ac:dyDescent="0.25">
      <c r="A163" s="29">
        <v>-15.8</v>
      </c>
      <c r="B163" s="50">
        <f t="shared" si="4"/>
        <v>344.2</v>
      </c>
    </row>
    <row r="164" spans="1:2" x14ac:dyDescent="0.25">
      <c r="A164" s="17">
        <v>-19.399999999999999</v>
      </c>
      <c r="B164" s="49">
        <f t="shared" si="4"/>
        <v>340.6</v>
      </c>
    </row>
    <row r="165" spans="1:2" x14ac:dyDescent="0.25">
      <c r="A165" s="29">
        <v>-19.399999999999999</v>
      </c>
      <c r="B165" s="50">
        <f t="shared" si="4"/>
        <v>340.6</v>
      </c>
    </row>
    <row r="166" spans="1:2" x14ac:dyDescent="0.25">
      <c r="A166" s="17">
        <v>-18.5</v>
      </c>
      <c r="B166" s="52">
        <f t="shared" si="4"/>
        <v>341.5</v>
      </c>
    </row>
    <row r="167" spans="1:2" x14ac:dyDescent="0.25">
      <c r="A167" s="29">
        <v>-18.5</v>
      </c>
      <c r="B167" s="50">
        <f t="shared" si="4"/>
        <v>341.5</v>
      </c>
    </row>
    <row r="168" spans="1:2" x14ac:dyDescent="0.25">
      <c r="A168" s="17">
        <v>-32.200000000000003</v>
      </c>
      <c r="B168" s="49">
        <f t="shared" si="4"/>
        <v>327.8</v>
      </c>
    </row>
    <row r="169" spans="1:2" x14ac:dyDescent="0.25">
      <c r="A169" s="29">
        <v>-22.3</v>
      </c>
      <c r="B169" s="50">
        <f t="shared" si="4"/>
        <v>337.7</v>
      </c>
    </row>
    <row r="170" spans="1:2" x14ac:dyDescent="0.25">
      <c r="A170" s="17">
        <v>-5.3</v>
      </c>
      <c r="B170" s="49">
        <f t="shared" si="4"/>
        <v>354.7</v>
      </c>
    </row>
    <row r="171" spans="1:2" x14ac:dyDescent="0.25">
      <c r="A171" s="29">
        <v>0</v>
      </c>
      <c r="B171" s="51">
        <v>0</v>
      </c>
    </row>
    <row r="172" spans="1:2" x14ac:dyDescent="0.25">
      <c r="A172" s="17">
        <v>-95.1</v>
      </c>
      <c r="B172" s="49">
        <f t="shared" si="4"/>
        <v>264.89999999999998</v>
      </c>
    </row>
    <row r="173" spans="1:2" x14ac:dyDescent="0.25">
      <c r="A173" s="29">
        <v>-82.6</v>
      </c>
      <c r="B173" s="50">
        <f t="shared" si="4"/>
        <v>277.39999999999998</v>
      </c>
    </row>
    <row r="174" spans="1:2" x14ac:dyDescent="0.25">
      <c r="A174" s="17">
        <v>-86.7</v>
      </c>
      <c r="B174" s="49">
        <f t="shared" si="4"/>
        <v>273.3</v>
      </c>
    </row>
    <row r="175" spans="1:2" x14ac:dyDescent="0.25">
      <c r="A175" s="29">
        <v>-85.7</v>
      </c>
      <c r="B175" s="50">
        <f t="shared" si="4"/>
        <v>274.3</v>
      </c>
    </row>
    <row r="176" spans="1:2" x14ac:dyDescent="0.25">
      <c r="A176" s="17">
        <v>-85.1</v>
      </c>
      <c r="B176" s="49">
        <f t="shared" si="4"/>
        <v>274.89999999999998</v>
      </c>
    </row>
    <row r="177" spans="1:2" x14ac:dyDescent="0.25">
      <c r="A177" s="29">
        <v>-85.9</v>
      </c>
      <c r="B177" s="50">
        <f t="shared" si="4"/>
        <v>274.10000000000002</v>
      </c>
    </row>
    <row r="178" spans="1:2" x14ac:dyDescent="0.25">
      <c r="A178" s="17">
        <v>-87.5</v>
      </c>
      <c r="B178" s="49">
        <f t="shared" si="4"/>
        <v>272.5</v>
      </c>
    </row>
    <row r="179" spans="1:2" x14ac:dyDescent="0.25">
      <c r="A179" s="29">
        <v>-80.900000000000006</v>
      </c>
      <c r="B179" s="50">
        <f t="shared" si="4"/>
        <v>279.10000000000002</v>
      </c>
    </row>
    <row r="180" spans="1:2" x14ac:dyDescent="0.25">
      <c r="A180" s="17">
        <v>-88.3</v>
      </c>
      <c r="B180" s="49">
        <f t="shared" si="4"/>
        <v>271.7</v>
      </c>
    </row>
    <row r="181" spans="1:2" x14ac:dyDescent="0.25">
      <c r="A181" s="29">
        <v>-84</v>
      </c>
      <c r="B181" s="50">
        <f t="shared" si="4"/>
        <v>276</v>
      </c>
    </row>
    <row r="182" spans="1:2" x14ac:dyDescent="0.25">
      <c r="A182" s="17">
        <v>-83.1</v>
      </c>
      <c r="B182" s="49">
        <f t="shared" si="4"/>
        <v>276.89999999999998</v>
      </c>
    </row>
    <row r="183" spans="1:2" x14ac:dyDescent="0.25">
      <c r="A183" s="29">
        <v>-90.2</v>
      </c>
      <c r="B183" s="50">
        <f t="shared" si="4"/>
        <v>269.8</v>
      </c>
    </row>
    <row r="184" spans="1:2" x14ac:dyDescent="0.25">
      <c r="A184" s="7" t="s">
        <v>5</v>
      </c>
      <c r="B184" s="47" t="s">
        <v>5</v>
      </c>
    </row>
    <row r="185" spans="1:2" x14ac:dyDescent="0.25">
      <c r="A185" s="11"/>
      <c r="B185" s="48"/>
    </row>
    <row r="186" spans="1:2" x14ac:dyDescent="0.25">
      <c r="A186" s="17">
        <v>-96.4</v>
      </c>
      <c r="B186" s="49">
        <f t="shared" ref="B186" si="5">360+A186</f>
        <v>263.60000000000002</v>
      </c>
    </row>
    <row r="187" spans="1:2" x14ac:dyDescent="0.25">
      <c r="A187" s="29">
        <v>29.8</v>
      </c>
      <c r="B187" s="51">
        <v>29.8</v>
      </c>
    </row>
    <row r="188" spans="1:2" x14ac:dyDescent="0.25">
      <c r="A188" s="17">
        <v>28.3</v>
      </c>
      <c r="B188" s="53">
        <v>28.3</v>
      </c>
    </row>
    <row r="189" spans="1:2" x14ac:dyDescent="0.25">
      <c r="A189" s="29">
        <v>27.6</v>
      </c>
      <c r="B189" s="51">
        <v>27.6</v>
      </c>
    </row>
    <row r="190" spans="1:2" x14ac:dyDescent="0.25">
      <c r="A190" s="17">
        <v>28.2</v>
      </c>
      <c r="B190" s="53">
        <v>28.2</v>
      </c>
    </row>
    <row r="191" spans="1:2" x14ac:dyDescent="0.25">
      <c r="A191" s="29">
        <v>27.5</v>
      </c>
      <c r="B191" s="51">
        <v>27.5</v>
      </c>
    </row>
    <row r="192" spans="1:2" x14ac:dyDescent="0.25">
      <c r="A192" s="17">
        <v>29.3</v>
      </c>
      <c r="B192" s="53">
        <v>29.3</v>
      </c>
    </row>
    <row r="193" spans="1:2" x14ac:dyDescent="0.25">
      <c r="A193" s="29">
        <v>28.6</v>
      </c>
      <c r="B193" s="51">
        <v>28.6</v>
      </c>
    </row>
    <row r="194" spans="1:2" x14ac:dyDescent="0.25">
      <c r="A194" s="17">
        <v>26.4</v>
      </c>
      <c r="B194" s="53">
        <v>26.4</v>
      </c>
    </row>
    <row r="195" spans="1:2" x14ac:dyDescent="0.25">
      <c r="A195" s="29">
        <v>28</v>
      </c>
      <c r="B195" s="51">
        <v>28</v>
      </c>
    </row>
    <row r="196" spans="1:2" x14ac:dyDescent="0.25">
      <c r="A196" s="17">
        <v>21.2</v>
      </c>
      <c r="B196" s="53">
        <v>21.2</v>
      </c>
    </row>
    <row r="197" spans="1:2" x14ac:dyDescent="0.25">
      <c r="A197" s="29">
        <v>23.2</v>
      </c>
      <c r="B197" s="51">
        <v>23.2</v>
      </c>
    </row>
    <row r="198" spans="1:2" x14ac:dyDescent="0.25">
      <c r="A198" s="17">
        <v>28.9</v>
      </c>
      <c r="B198" s="53">
        <v>28.9</v>
      </c>
    </row>
    <row r="199" spans="1:2" x14ac:dyDescent="0.25">
      <c r="A199" s="29">
        <v>28.9</v>
      </c>
      <c r="B199" s="51">
        <v>28.9</v>
      </c>
    </row>
    <row r="200" spans="1:2" x14ac:dyDescent="0.25">
      <c r="A200" s="17">
        <v>28.2</v>
      </c>
      <c r="B200" s="53">
        <v>28.2</v>
      </c>
    </row>
    <row r="201" spans="1:2" x14ac:dyDescent="0.25">
      <c r="A201" s="29">
        <v>26.3</v>
      </c>
      <c r="B201" s="51">
        <v>26.3</v>
      </c>
    </row>
    <row r="202" spans="1:2" x14ac:dyDescent="0.25">
      <c r="A202" s="17">
        <v>145.30000000000001</v>
      </c>
      <c r="B202" s="53">
        <v>145.30000000000001</v>
      </c>
    </row>
    <row r="203" spans="1:2" x14ac:dyDescent="0.25">
      <c r="A203" s="29">
        <v>83.2</v>
      </c>
      <c r="B203" s="51">
        <v>83.2</v>
      </c>
    </row>
    <row r="204" spans="1:2" x14ac:dyDescent="0.25">
      <c r="A204" s="17">
        <v>38.6</v>
      </c>
      <c r="B204" s="53">
        <v>38.6</v>
      </c>
    </row>
    <row r="205" spans="1:2" x14ac:dyDescent="0.25">
      <c r="A205" s="29">
        <v>-16.7</v>
      </c>
      <c r="B205" s="50">
        <f t="shared" ref="B205:B208" si="6">360+A205</f>
        <v>343.3</v>
      </c>
    </row>
    <row r="206" spans="1:2" x14ac:dyDescent="0.25">
      <c r="A206" s="17">
        <v>-24.9</v>
      </c>
      <c r="B206" s="49">
        <f t="shared" si="6"/>
        <v>335.1</v>
      </c>
    </row>
    <row r="207" spans="1:2" x14ac:dyDescent="0.25">
      <c r="A207" s="29">
        <v>-24.8</v>
      </c>
      <c r="B207" s="50">
        <f t="shared" si="6"/>
        <v>335.2</v>
      </c>
    </row>
    <row r="208" spans="1:2" x14ac:dyDescent="0.25">
      <c r="A208" s="17">
        <v>-23.1</v>
      </c>
      <c r="B208" s="49">
        <f t="shared" si="6"/>
        <v>336.9</v>
      </c>
    </row>
    <row r="209" spans="1:2" x14ac:dyDescent="0.25">
      <c r="A209" s="29">
        <v>42.3</v>
      </c>
      <c r="B209" s="51">
        <v>42.3</v>
      </c>
    </row>
    <row r="210" spans="1:2" x14ac:dyDescent="0.25">
      <c r="A210" s="17">
        <v>42.3</v>
      </c>
      <c r="B210" s="53">
        <v>42.3</v>
      </c>
    </row>
    <row r="211" spans="1:2" x14ac:dyDescent="0.25">
      <c r="A211" s="29">
        <v>87.8</v>
      </c>
      <c r="B211" s="51">
        <v>87.8</v>
      </c>
    </row>
    <row r="212" spans="1:2" x14ac:dyDescent="0.25">
      <c r="A212" s="17">
        <v>-6.1</v>
      </c>
      <c r="B212" s="49">
        <f t="shared" ref="B212:B218" si="7">360+A212</f>
        <v>353.9</v>
      </c>
    </row>
    <row r="213" spans="1:2" x14ac:dyDescent="0.25">
      <c r="A213" s="29">
        <v>-0.7</v>
      </c>
      <c r="B213" s="50">
        <f t="shared" si="7"/>
        <v>359.3</v>
      </c>
    </row>
    <row r="214" spans="1:2" x14ac:dyDescent="0.25">
      <c r="A214" s="17">
        <v>-0.6</v>
      </c>
      <c r="B214" s="49">
        <f t="shared" si="7"/>
        <v>359.4</v>
      </c>
    </row>
    <row r="215" spans="1:2" x14ac:dyDescent="0.25">
      <c r="A215" s="29">
        <v>-0.8</v>
      </c>
      <c r="B215" s="50">
        <f t="shared" si="7"/>
        <v>359.2</v>
      </c>
    </row>
    <row r="216" spans="1:2" x14ac:dyDescent="0.25">
      <c r="A216" s="17">
        <v>-0.7</v>
      </c>
      <c r="B216" s="49">
        <f t="shared" si="7"/>
        <v>359.3</v>
      </c>
    </row>
    <row r="217" spans="1:2" x14ac:dyDescent="0.25">
      <c r="A217" s="29">
        <v>-0.9</v>
      </c>
      <c r="B217" s="50">
        <f t="shared" si="7"/>
        <v>359.1</v>
      </c>
    </row>
    <row r="218" spans="1:2" x14ac:dyDescent="0.25">
      <c r="A218" s="17">
        <v>-9</v>
      </c>
      <c r="B218" s="49">
        <f t="shared" si="7"/>
        <v>351</v>
      </c>
    </row>
    <row r="219" spans="1:2" x14ac:dyDescent="0.25">
      <c r="A219" s="29">
        <v>1.5</v>
      </c>
      <c r="B219" s="51">
        <v>1.5</v>
      </c>
    </row>
    <row r="220" spans="1:2" x14ac:dyDescent="0.25">
      <c r="A220" s="17">
        <v>1.5</v>
      </c>
      <c r="B220" s="53">
        <v>1.5</v>
      </c>
    </row>
    <row r="221" spans="1:2" x14ac:dyDescent="0.25">
      <c r="A221" s="29">
        <v>-3.2</v>
      </c>
      <c r="B221" s="50">
        <f t="shared" ref="B221:B225" si="8">360+A221</f>
        <v>356.8</v>
      </c>
    </row>
    <row r="222" spans="1:2" x14ac:dyDescent="0.25">
      <c r="A222" s="17">
        <v>-2.8</v>
      </c>
      <c r="B222" s="49">
        <f t="shared" si="8"/>
        <v>357.2</v>
      </c>
    </row>
    <row r="223" spans="1:2" x14ac:dyDescent="0.25">
      <c r="A223" s="29">
        <v>-5.7</v>
      </c>
      <c r="B223" s="50">
        <f t="shared" si="8"/>
        <v>354.3</v>
      </c>
    </row>
    <row r="224" spans="1:2" x14ac:dyDescent="0.25">
      <c r="A224" s="17">
        <v>-3.3</v>
      </c>
      <c r="B224" s="49">
        <f t="shared" si="8"/>
        <v>356.7</v>
      </c>
    </row>
    <row r="225" spans="1:2" x14ac:dyDescent="0.25">
      <c r="A225" s="29">
        <v>-5.2</v>
      </c>
      <c r="B225" s="50">
        <f t="shared" si="8"/>
        <v>354.8</v>
      </c>
    </row>
    <row r="226" spans="1:2" x14ac:dyDescent="0.25">
      <c r="A226" s="17">
        <v>143.5</v>
      </c>
      <c r="B226" s="53">
        <v>143.5</v>
      </c>
    </row>
    <row r="227" spans="1:2" x14ac:dyDescent="0.25">
      <c r="A227" s="29">
        <v>161.69999999999999</v>
      </c>
      <c r="B227" s="29">
        <v>161.69999999999999</v>
      </c>
    </row>
    <row r="228" spans="1:2" x14ac:dyDescent="0.25">
      <c r="A228" s="17">
        <v>161</v>
      </c>
      <c r="B228" s="17">
        <v>161</v>
      </c>
    </row>
    <row r="229" spans="1:2" x14ac:dyDescent="0.25">
      <c r="A229" s="40">
        <v>164.4</v>
      </c>
      <c r="B229" s="40">
        <v>164.4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Table1</vt:lpstr>
      <vt:lpstr>Sheet2</vt:lpstr>
      <vt:lpstr>Sheet3</vt:lpstr>
    </vt:vector>
  </TitlesOfParts>
  <Company>Brown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Debra</dc:creator>
  <cp:lastModifiedBy>Kring</cp:lastModifiedBy>
  <cp:lastPrinted>2012-03-30T14:18:37Z</cp:lastPrinted>
  <dcterms:created xsi:type="dcterms:W3CDTF">2012-03-29T22:06:39Z</dcterms:created>
  <dcterms:modified xsi:type="dcterms:W3CDTF">2014-12-19T21:53:31Z</dcterms:modified>
</cp:coreProperties>
</file>